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OneDrive\Desktop\"/>
    </mc:Choice>
  </mc:AlternateContent>
  <xr:revisionPtr revIDLastSave="0" documentId="8_{C6B85961-5A2A-4276-90A0-BBEED3E5E518}" xr6:coauthVersionLast="47" xr6:coauthVersionMax="47" xr10:uidLastSave="{00000000-0000-0000-0000-000000000000}"/>
  <bookViews>
    <workbookView xWindow="-120" yWindow="-120" windowWidth="21840" windowHeight="13140" xr2:uid="{B497AC18-9B40-4D08-AA58-24647517D617}"/>
  </bookViews>
  <sheets>
    <sheet name="Sheet1" sheetId="1" r:id="rId1"/>
  </sheets>
  <externalReferences>
    <externalReference r:id="rId2"/>
  </externalReferences>
  <definedNames>
    <definedName name="_xlnm.Print_Area" localSheetId="0">Sheet1!$A$1:$T$430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28" i="1" l="1"/>
  <c r="I428" i="1" s="1"/>
  <c r="F428" i="1"/>
  <c r="G428" i="1" s="1"/>
  <c r="D428" i="1"/>
  <c r="E428" i="1" s="1"/>
  <c r="V423" i="1"/>
  <c r="W423" i="1" s="1"/>
  <c r="S423" i="1"/>
  <c r="R423" i="1"/>
  <c r="W421" i="1"/>
  <c r="V421" i="1"/>
  <c r="M419" i="1"/>
  <c r="L419" i="1"/>
  <c r="W417" i="1"/>
  <c r="V417" i="1"/>
  <c r="U417" i="1"/>
  <c r="T417" i="1"/>
  <c r="S417" i="1"/>
  <c r="R417" i="1"/>
  <c r="M415" i="1"/>
  <c r="L415" i="1"/>
  <c r="G415" i="1"/>
  <c r="F415" i="1"/>
  <c r="E415" i="1"/>
  <c r="D415" i="1"/>
  <c r="S413" i="1"/>
  <c r="R413" i="1"/>
  <c r="O413" i="1"/>
  <c r="N413" i="1"/>
  <c r="M413" i="1"/>
  <c r="J413" i="1"/>
  <c r="K413" i="1" s="1"/>
  <c r="F413" i="1"/>
  <c r="G413" i="1" s="1"/>
  <c r="E413" i="1"/>
  <c r="O411" i="1"/>
  <c r="N411" i="1"/>
  <c r="K411" i="1"/>
  <c r="J411" i="1"/>
  <c r="G411" i="1"/>
  <c r="F411" i="1"/>
  <c r="R409" i="1"/>
  <c r="N409" i="1"/>
  <c r="O409" i="1" s="1"/>
  <c r="L409" i="1"/>
  <c r="M409" i="1" s="1"/>
  <c r="J409" i="1"/>
  <c r="K409" i="1" s="1"/>
  <c r="H409" i="1"/>
  <c r="I409" i="1" s="1"/>
  <c r="F409" i="1"/>
  <c r="G409" i="1" s="1"/>
  <c r="D409" i="1"/>
  <c r="E409" i="1" s="1"/>
  <c r="P407" i="1"/>
  <c r="Q407" i="1" s="1"/>
  <c r="N407" i="1"/>
  <c r="O407" i="1" s="1"/>
  <c r="L407" i="1"/>
  <c r="M407" i="1" s="1"/>
  <c r="J407" i="1"/>
  <c r="K407" i="1" s="1"/>
  <c r="H407" i="1"/>
  <c r="I407" i="1" s="1"/>
  <c r="F407" i="1"/>
  <c r="G407" i="1" s="1"/>
  <c r="D402" i="1"/>
  <c r="E402" i="1" s="1"/>
  <c r="J400" i="1"/>
  <c r="K400" i="1" s="1"/>
  <c r="H400" i="1"/>
  <c r="I400" i="1" s="1"/>
  <c r="F400" i="1"/>
  <c r="G400" i="1" s="1"/>
  <c r="J398" i="1"/>
  <c r="K398" i="1" s="1"/>
  <c r="H398" i="1"/>
  <c r="I398" i="1" s="1"/>
  <c r="F398" i="1"/>
  <c r="G398" i="1" s="1"/>
  <c r="D396" i="1"/>
  <c r="E396" i="1" s="1"/>
  <c r="D394" i="1"/>
  <c r="E394" i="1" s="1"/>
  <c r="J390" i="1"/>
  <c r="K390" i="1" s="1"/>
  <c r="H390" i="1"/>
  <c r="I390" i="1" s="1"/>
  <c r="F390" i="1"/>
  <c r="G390" i="1" s="1"/>
  <c r="J388" i="1"/>
  <c r="K388" i="1" s="1"/>
  <c r="H388" i="1"/>
  <c r="I388" i="1" s="1"/>
  <c r="F388" i="1"/>
  <c r="G388" i="1" s="1"/>
  <c r="D385" i="1"/>
  <c r="E385" i="1" s="1"/>
  <c r="D383" i="1"/>
  <c r="E383" i="1" s="1"/>
  <c r="D381" i="1"/>
  <c r="E381" i="1" s="1"/>
  <c r="D379" i="1"/>
  <c r="E379" i="1" s="1"/>
  <c r="D377" i="1"/>
  <c r="E377" i="1" s="1"/>
  <c r="N375" i="1"/>
  <c r="O375" i="1" s="1"/>
  <c r="L375" i="1"/>
  <c r="M375" i="1" s="1"/>
  <c r="J375" i="1"/>
  <c r="K375" i="1" s="1"/>
  <c r="H375" i="1"/>
  <c r="I375" i="1" s="1"/>
  <c r="F375" i="1"/>
  <c r="G375" i="1" s="1"/>
  <c r="L373" i="1"/>
  <c r="M373" i="1" s="1"/>
  <c r="J373" i="1"/>
  <c r="K373" i="1" s="1"/>
  <c r="H373" i="1"/>
  <c r="I373" i="1" s="1"/>
  <c r="F373" i="1"/>
  <c r="G373" i="1" s="1"/>
  <c r="D371" i="1"/>
  <c r="E371" i="1" s="1"/>
  <c r="D369" i="1"/>
  <c r="E369" i="1" s="1"/>
  <c r="D367" i="1"/>
  <c r="E367" i="1" s="1"/>
  <c r="D365" i="1"/>
  <c r="E365" i="1" s="1"/>
  <c r="R362" i="1"/>
  <c r="S362" i="1" s="1"/>
  <c r="P362" i="1"/>
  <c r="Q362" i="1" s="1"/>
  <c r="M362" i="1"/>
  <c r="L362" i="1"/>
  <c r="J362" i="1"/>
  <c r="K362" i="1" s="1"/>
  <c r="H362" i="1"/>
  <c r="I362" i="1" s="1"/>
  <c r="F362" i="1"/>
  <c r="G362" i="1" s="1"/>
  <c r="D360" i="1"/>
  <c r="E360" i="1" s="1"/>
  <c r="D358" i="1"/>
  <c r="E358" i="1" s="1"/>
  <c r="F356" i="1"/>
  <c r="G356" i="1" s="1"/>
  <c r="D354" i="1"/>
  <c r="E354" i="1" s="1"/>
  <c r="E352" i="1"/>
  <c r="D352" i="1"/>
  <c r="J350" i="1"/>
  <c r="K350" i="1" s="1"/>
  <c r="H350" i="1"/>
  <c r="I350" i="1" s="1"/>
  <c r="F350" i="1"/>
  <c r="G350" i="1" s="1"/>
  <c r="J348" i="1"/>
  <c r="K348" i="1" s="1"/>
  <c r="H348" i="1"/>
  <c r="I348" i="1" s="1"/>
  <c r="D346" i="1"/>
  <c r="E346" i="1" s="1"/>
  <c r="D344" i="1"/>
  <c r="E344" i="1" s="1"/>
  <c r="M337" i="1"/>
  <c r="L337" i="1"/>
  <c r="K337" i="1"/>
  <c r="J337" i="1"/>
  <c r="I337" i="1"/>
  <c r="H337" i="1"/>
  <c r="G337" i="1"/>
  <c r="F337" i="1"/>
  <c r="F334" i="1"/>
  <c r="G334" i="1" s="1"/>
  <c r="J332" i="1"/>
  <c r="K332" i="1" s="1"/>
  <c r="I332" i="1"/>
  <c r="H332" i="1"/>
  <c r="G332" i="1"/>
  <c r="F332" i="1"/>
  <c r="J330" i="1"/>
  <c r="K330" i="1" s="1"/>
  <c r="J328" i="1"/>
  <c r="K328" i="1" s="1"/>
  <c r="J326" i="1"/>
  <c r="K326" i="1" s="1"/>
  <c r="J324" i="1"/>
  <c r="K324" i="1" s="1"/>
  <c r="H324" i="1"/>
  <c r="I324" i="1" s="1"/>
  <c r="F324" i="1"/>
  <c r="G324" i="1" s="1"/>
  <c r="J323" i="1"/>
  <c r="K323" i="1" s="1"/>
  <c r="H323" i="1"/>
  <c r="I323" i="1" s="1"/>
  <c r="F323" i="1"/>
  <c r="G323" i="1" s="1"/>
  <c r="L321" i="1"/>
  <c r="M321" i="1" s="1"/>
  <c r="J321" i="1"/>
  <c r="K321" i="1" s="1"/>
  <c r="H321" i="1"/>
  <c r="I321" i="1" s="1"/>
  <c r="F321" i="1"/>
  <c r="G321" i="1" s="1"/>
  <c r="J319" i="1"/>
  <c r="K319" i="1" s="1"/>
  <c r="H319" i="1"/>
  <c r="I319" i="1" s="1"/>
  <c r="G319" i="1"/>
  <c r="F319" i="1"/>
  <c r="J317" i="1"/>
  <c r="K317" i="1" s="1"/>
  <c r="I317" i="1"/>
  <c r="H317" i="1"/>
  <c r="G317" i="1"/>
  <c r="F317" i="1"/>
  <c r="D314" i="1"/>
  <c r="E314" i="1" s="1"/>
  <c r="D312" i="1"/>
  <c r="E312" i="1" s="1"/>
  <c r="D310" i="1"/>
  <c r="E310" i="1" s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H301" i="1"/>
  <c r="G301" i="1"/>
  <c r="S299" i="1"/>
  <c r="Q299" i="1"/>
  <c r="R299" i="1" s="1"/>
  <c r="O299" i="1"/>
  <c r="P299" i="1" s="1"/>
  <c r="M299" i="1"/>
  <c r="N299" i="1" s="1"/>
  <c r="K299" i="1"/>
  <c r="L299" i="1" s="1"/>
  <c r="I299" i="1"/>
  <c r="J299" i="1" s="1"/>
  <c r="G299" i="1"/>
  <c r="H299" i="1" s="1"/>
  <c r="S297" i="1"/>
  <c r="P297" i="1"/>
  <c r="O297" i="1"/>
  <c r="N297" i="1"/>
  <c r="M297" i="1"/>
  <c r="L297" i="1"/>
  <c r="K297" i="1"/>
  <c r="J297" i="1"/>
  <c r="I297" i="1"/>
  <c r="H297" i="1"/>
  <c r="G297" i="1"/>
  <c r="H295" i="1"/>
  <c r="G295" i="1"/>
  <c r="N293" i="1"/>
  <c r="M293" i="1"/>
  <c r="L293" i="1"/>
  <c r="K293" i="1"/>
  <c r="J293" i="1"/>
  <c r="I293" i="1"/>
  <c r="H293" i="1"/>
  <c r="G293" i="1"/>
  <c r="P291" i="1"/>
  <c r="O291" i="1"/>
  <c r="N291" i="1"/>
  <c r="M291" i="1"/>
  <c r="L291" i="1"/>
  <c r="K291" i="1"/>
  <c r="J291" i="1"/>
  <c r="I291" i="1"/>
  <c r="H291" i="1"/>
  <c r="G291" i="1"/>
  <c r="S289" i="1"/>
  <c r="Q289" i="1"/>
  <c r="R289" i="1" s="1"/>
  <c r="O289" i="1"/>
  <c r="P289" i="1" s="1"/>
  <c r="M289" i="1"/>
  <c r="N289" i="1" s="1"/>
  <c r="K289" i="1"/>
  <c r="L289" i="1" s="1"/>
  <c r="I289" i="1"/>
  <c r="J289" i="1" s="1"/>
  <c r="H289" i="1"/>
  <c r="G289" i="1"/>
  <c r="O287" i="1"/>
  <c r="P287" i="1" s="1"/>
  <c r="M287" i="1"/>
  <c r="N287" i="1" s="1"/>
  <c r="K287" i="1"/>
  <c r="L287" i="1" s="1"/>
  <c r="I287" i="1"/>
  <c r="J287" i="1" s="1"/>
  <c r="H287" i="1"/>
  <c r="G287" i="1"/>
  <c r="M285" i="1"/>
  <c r="N285" i="1" s="1"/>
  <c r="O283" i="1"/>
  <c r="P283" i="1" s="1"/>
  <c r="M283" i="1"/>
  <c r="N283" i="1" s="1"/>
  <c r="K283" i="1"/>
  <c r="L283" i="1" s="1"/>
  <c r="I283" i="1"/>
  <c r="J283" i="1" s="1"/>
  <c r="Q281" i="1"/>
  <c r="R281" i="1" s="1"/>
  <c r="O281" i="1"/>
  <c r="P281" i="1" s="1"/>
  <c r="M281" i="1"/>
  <c r="N281" i="1" s="1"/>
  <c r="K281" i="1"/>
  <c r="L281" i="1" s="1"/>
  <c r="I281" i="1"/>
  <c r="J281" i="1" s="1"/>
  <c r="H281" i="1"/>
  <c r="G281" i="1"/>
  <c r="O279" i="1"/>
  <c r="P279" i="1" s="1"/>
  <c r="M279" i="1"/>
  <c r="N279" i="1" s="1"/>
  <c r="K279" i="1"/>
  <c r="L279" i="1" s="1"/>
  <c r="I279" i="1"/>
  <c r="J279" i="1" s="1"/>
  <c r="S277" i="1"/>
  <c r="R277" i="1"/>
  <c r="Q277" i="1"/>
  <c r="P277" i="1"/>
  <c r="O277" i="1"/>
  <c r="N277" i="1"/>
  <c r="M277" i="1"/>
  <c r="L277" i="1"/>
  <c r="K277" i="1"/>
  <c r="J277" i="1"/>
  <c r="I277" i="1"/>
  <c r="S275" i="1"/>
  <c r="O275" i="1"/>
  <c r="P275" i="1" s="1"/>
  <c r="M275" i="1"/>
  <c r="N275" i="1" s="1"/>
  <c r="L275" i="1"/>
  <c r="K275" i="1"/>
  <c r="I275" i="1"/>
  <c r="J275" i="1" s="1"/>
  <c r="H275" i="1"/>
  <c r="G275" i="1"/>
  <c r="S273" i="1"/>
  <c r="R273" i="1"/>
  <c r="Q273" i="1"/>
  <c r="O273" i="1"/>
  <c r="P273" i="1" s="1"/>
  <c r="M273" i="1"/>
  <c r="N273" i="1" s="1"/>
  <c r="L273" i="1"/>
  <c r="K273" i="1"/>
  <c r="J273" i="1"/>
  <c r="I273" i="1"/>
  <c r="Q271" i="1"/>
  <c r="R271" i="1" s="1"/>
  <c r="O271" i="1"/>
  <c r="P271" i="1" s="1"/>
  <c r="N271" i="1"/>
  <c r="M271" i="1"/>
  <c r="L271" i="1"/>
  <c r="K271" i="1"/>
  <c r="O270" i="1"/>
  <c r="P270" i="1" s="1"/>
  <c r="N270" i="1"/>
  <c r="M270" i="1"/>
  <c r="L270" i="1"/>
  <c r="K270" i="1"/>
  <c r="J270" i="1"/>
  <c r="I270" i="1"/>
  <c r="H270" i="1"/>
  <c r="G270" i="1"/>
  <c r="S268" i="1"/>
  <c r="Q268" i="1"/>
  <c r="R268" i="1" s="1"/>
  <c r="O268" i="1"/>
  <c r="P268" i="1" s="1"/>
  <c r="N268" i="1"/>
  <c r="M268" i="1"/>
  <c r="K268" i="1"/>
  <c r="L268" i="1" s="1"/>
  <c r="I268" i="1"/>
  <c r="J268" i="1" s="1"/>
  <c r="H268" i="1"/>
  <c r="G268" i="1"/>
  <c r="S266" i="1"/>
  <c r="Q266" i="1"/>
  <c r="R266" i="1" s="1"/>
  <c r="O266" i="1"/>
  <c r="P266" i="1" s="1"/>
  <c r="N266" i="1"/>
  <c r="M266" i="1"/>
  <c r="L266" i="1"/>
  <c r="K266" i="1"/>
  <c r="I266" i="1"/>
  <c r="J266" i="1" s="1"/>
  <c r="S264" i="1"/>
  <c r="Q264" i="1"/>
  <c r="R264" i="1" s="1"/>
  <c r="O264" i="1"/>
  <c r="P264" i="1" s="1"/>
  <c r="N264" i="1"/>
  <c r="M264" i="1"/>
  <c r="K264" i="1"/>
  <c r="L264" i="1" s="1"/>
  <c r="J264" i="1"/>
  <c r="I264" i="1"/>
  <c r="I262" i="1"/>
  <c r="J262" i="1" s="1"/>
  <c r="S260" i="1"/>
  <c r="Q260" i="1"/>
  <c r="R260" i="1" s="1"/>
  <c r="P260" i="1"/>
  <c r="O260" i="1"/>
  <c r="N260" i="1"/>
  <c r="M260" i="1"/>
  <c r="L260" i="1"/>
  <c r="K260" i="1"/>
  <c r="I260" i="1"/>
  <c r="J260" i="1" s="1"/>
  <c r="G260" i="1"/>
  <c r="H260" i="1" s="1"/>
  <c r="S258" i="1"/>
  <c r="Q258" i="1"/>
  <c r="R258" i="1" s="1"/>
  <c r="P258" i="1"/>
  <c r="O258" i="1"/>
  <c r="M258" i="1"/>
  <c r="N258" i="1" s="1"/>
  <c r="K258" i="1"/>
  <c r="L258" i="1" s="1"/>
  <c r="I258" i="1"/>
  <c r="J258" i="1" s="1"/>
  <c r="S256" i="1"/>
  <c r="Q256" i="1"/>
  <c r="R256" i="1" s="1"/>
  <c r="P256" i="1"/>
  <c r="O256" i="1"/>
  <c r="N256" i="1"/>
  <c r="M256" i="1"/>
  <c r="L256" i="1"/>
  <c r="K256" i="1"/>
  <c r="I256" i="1"/>
  <c r="J256" i="1" s="1"/>
  <c r="H256" i="1"/>
  <c r="G256" i="1"/>
  <c r="S253" i="1"/>
  <c r="Q253" i="1"/>
  <c r="R253" i="1" s="1"/>
  <c r="P253" i="1"/>
  <c r="O253" i="1"/>
  <c r="M253" i="1"/>
  <c r="N253" i="1" s="1"/>
  <c r="K253" i="1"/>
  <c r="L253" i="1" s="1"/>
  <c r="I253" i="1"/>
  <c r="J253" i="1" s="1"/>
  <c r="H253" i="1"/>
  <c r="G253" i="1"/>
  <c r="S251" i="1"/>
  <c r="Q251" i="1"/>
  <c r="R251" i="1" s="1"/>
  <c r="P251" i="1"/>
  <c r="O251" i="1"/>
  <c r="N251" i="1"/>
  <c r="M251" i="1"/>
  <c r="K251" i="1"/>
  <c r="L251" i="1" s="1"/>
  <c r="I251" i="1"/>
  <c r="J251" i="1" s="1"/>
  <c r="P249" i="1"/>
  <c r="O249" i="1"/>
  <c r="N249" i="1"/>
  <c r="M249" i="1"/>
  <c r="K249" i="1"/>
  <c r="L249" i="1" s="1"/>
  <c r="I249" i="1"/>
  <c r="J249" i="1" s="1"/>
  <c r="H249" i="1"/>
  <c r="G249" i="1"/>
  <c r="R247" i="1"/>
  <c r="Q247" i="1"/>
  <c r="O247" i="1"/>
  <c r="P247" i="1" s="1"/>
  <c r="N247" i="1"/>
  <c r="M247" i="1"/>
  <c r="L247" i="1"/>
  <c r="K247" i="1"/>
  <c r="J247" i="1"/>
  <c r="I247" i="1"/>
  <c r="H247" i="1"/>
  <c r="G247" i="1"/>
  <c r="N245" i="1"/>
  <c r="M245" i="1"/>
  <c r="L245" i="1"/>
  <c r="K245" i="1"/>
  <c r="H245" i="1"/>
  <c r="G245" i="1"/>
  <c r="S243" i="1"/>
  <c r="Q243" i="1"/>
  <c r="R243" i="1" s="1"/>
  <c r="P243" i="1"/>
  <c r="O243" i="1"/>
  <c r="M243" i="1"/>
  <c r="N243" i="1" s="1"/>
  <c r="L243" i="1"/>
  <c r="K243" i="1"/>
  <c r="I243" i="1"/>
  <c r="J243" i="1" s="1"/>
  <c r="H243" i="1"/>
  <c r="G243" i="1"/>
  <c r="S241" i="1"/>
  <c r="R241" i="1"/>
  <c r="Q241" i="1"/>
  <c r="O241" i="1"/>
  <c r="P241" i="1" s="1"/>
  <c r="N241" i="1"/>
  <c r="M241" i="1"/>
  <c r="L241" i="1"/>
  <c r="K241" i="1"/>
  <c r="J241" i="1"/>
  <c r="I241" i="1"/>
  <c r="H241" i="1"/>
  <c r="G241" i="1"/>
  <c r="S239" i="1"/>
  <c r="Q239" i="1"/>
  <c r="R239" i="1" s="1"/>
  <c r="O239" i="1"/>
  <c r="P239" i="1" s="1"/>
  <c r="N239" i="1"/>
  <c r="M239" i="1"/>
  <c r="K239" i="1"/>
  <c r="L239" i="1" s="1"/>
  <c r="I239" i="1"/>
  <c r="J239" i="1" s="1"/>
  <c r="H239" i="1"/>
  <c r="G239" i="1"/>
  <c r="N237" i="1"/>
  <c r="M237" i="1"/>
  <c r="K237" i="1"/>
  <c r="L237" i="1" s="1"/>
  <c r="I237" i="1"/>
  <c r="J237" i="1" s="1"/>
  <c r="S235" i="1"/>
  <c r="R235" i="1"/>
  <c r="Q235" i="1"/>
  <c r="O235" i="1"/>
  <c r="P235" i="1" s="1"/>
  <c r="N235" i="1"/>
  <c r="M235" i="1"/>
  <c r="L235" i="1"/>
  <c r="K235" i="1"/>
  <c r="J235" i="1"/>
  <c r="I235" i="1"/>
  <c r="Q233" i="1"/>
  <c r="R233" i="1" s="1"/>
  <c r="P233" i="1"/>
  <c r="O233" i="1"/>
  <c r="N233" i="1"/>
  <c r="M233" i="1"/>
  <c r="L233" i="1"/>
  <c r="K233" i="1"/>
  <c r="I233" i="1"/>
  <c r="J233" i="1" s="1"/>
  <c r="H233" i="1"/>
  <c r="G233" i="1"/>
  <c r="S231" i="1"/>
  <c r="Q231" i="1"/>
  <c r="R231" i="1" s="1"/>
  <c r="P231" i="1"/>
  <c r="O231" i="1"/>
  <c r="M231" i="1"/>
  <c r="N231" i="1" s="1"/>
  <c r="K231" i="1"/>
  <c r="L231" i="1" s="1"/>
  <c r="I231" i="1"/>
  <c r="J231" i="1" s="1"/>
  <c r="H231" i="1"/>
  <c r="G231" i="1"/>
  <c r="K229" i="1"/>
  <c r="L229" i="1" s="1"/>
  <c r="I229" i="1"/>
  <c r="J229" i="1" s="1"/>
  <c r="S227" i="1"/>
  <c r="R227" i="1"/>
  <c r="Q227" i="1"/>
  <c r="O227" i="1"/>
  <c r="P227" i="1" s="1"/>
  <c r="M227" i="1"/>
  <c r="N227" i="1" s="1"/>
  <c r="L227" i="1"/>
  <c r="K227" i="1"/>
  <c r="J227" i="1"/>
  <c r="I227" i="1"/>
  <c r="H227" i="1"/>
  <c r="G227" i="1"/>
  <c r="S225" i="1"/>
  <c r="Q225" i="1"/>
  <c r="R225" i="1" s="1"/>
  <c r="O225" i="1"/>
  <c r="P225" i="1" s="1"/>
  <c r="N225" i="1"/>
  <c r="M225" i="1"/>
  <c r="K225" i="1"/>
  <c r="L225" i="1" s="1"/>
  <c r="J225" i="1"/>
  <c r="I225" i="1"/>
  <c r="S224" i="1"/>
  <c r="R224" i="1"/>
  <c r="Q224" i="1"/>
  <c r="O224" i="1"/>
  <c r="P224" i="1" s="1"/>
  <c r="M224" i="1"/>
  <c r="N224" i="1" s="1"/>
  <c r="L224" i="1"/>
  <c r="K224" i="1"/>
  <c r="J224" i="1"/>
  <c r="I224" i="1"/>
  <c r="H224" i="1"/>
  <c r="G224" i="1"/>
  <c r="S222" i="1"/>
  <c r="R222" i="1"/>
  <c r="Q222" i="1"/>
  <c r="O222" i="1"/>
  <c r="P222" i="1" s="1"/>
  <c r="N222" i="1"/>
  <c r="M222" i="1"/>
  <c r="K222" i="1"/>
  <c r="L222" i="1" s="1"/>
  <c r="I222" i="1"/>
  <c r="J222" i="1" s="1"/>
  <c r="S220" i="1"/>
  <c r="R220" i="1"/>
  <c r="Q220" i="1"/>
  <c r="O220" i="1"/>
  <c r="P220" i="1" s="1"/>
  <c r="M220" i="1"/>
  <c r="N220" i="1" s="1"/>
  <c r="L220" i="1"/>
  <c r="K220" i="1"/>
  <c r="J220" i="1"/>
  <c r="I220" i="1"/>
  <c r="H220" i="1"/>
  <c r="G220" i="1"/>
  <c r="K215" i="1"/>
  <c r="L215" i="1" s="1"/>
  <c r="J215" i="1"/>
  <c r="G215" i="1"/>
  <c r="H215" i="1" s="1"/>
  <c r="L213" i="1"/>
  <c r="K213" i="1"/>
  <c r="I213" i="1"/>
  <c r="J213" i="1" s="1"/>
  <c r="S211" i="1"/>
  <c r="R211" i="1"/>
  <c r="Q211" i="1"/>
  <c r="P211" i="1"/>
  <c r="O211" i="1"/>
  <c r="M211" i="1"/>
  <c r="N211" i="1" s="1"/>
  <c r="L211" i="1"/>
  <c r="K211" i="1"/>
  <c r="J211" i="1"/>
  <c r="I211" i="1"/>
  <c r="S210" i="1"/>
  <c r="R210" i="1"/>
  <c r="Q210" i="1"/>
  <c r="O210" i="1"/>
  <c r="P210" i="1" s="1"/>
  <c r="N210" i="1"/>
  <c r="M210" i="1"/>
  <c r="K210" i="1"/>
  <c r="L210" i="1" s="1"/>
  <c r="J210" i="1"/>
  <c r="I210" i="1"/>
  <c r="K208" i="1"/>
  <c r="L208" i="1" s="1"/>
  <c r="I208" i="1"/>
  <c r="J208" i="1" s="1"/>
  <c r="Q206" i="1"/>
  <c r="R206" i="1" s="1"/>
  <c r="P206" i="1"/>
  <c r="O206" i="1"/>
  <c r="M206" i="1"/>
  <c r="N206" i="1" s="1"/>
  <c r="L206" i="1"/>
  <c r="K206" i="1"/>
  <c r="I206" i="1"/>
  <c r="J206" i="1" s="1"/>
  <c r="H206" i="1"/>
  <c r="G206" i="1"/>
  <c r="S204" i="1"/>
  <c r="Q204" i="1"/>
  <c r="R204" i="1" s="1"/>
  <c r="P204" i="1"/>
  <c r="O204" i="1"/>
  <c r="N204" i="1"/>
  <c r="M204" i="1"/>
  <c r="K204" i="1"/>
  <c r="L204" i="1" s="1"/>
  <c r="I204" i="1"/>
  <c r="J204" i="1" s="1"/>
  <c r="H204" i="1"/>
  <c r="G204" i="1"/>
  <c r="S202" i="1"/>
  <c r="R202" i="1"/>
  <c r="Q202" i="1"/>
  <c r="O202" i="1"/>
  <c r="P202" i="1" s="1"/>
  <c r="M202" i="1"/>
  <c r="N202" i="1" s="1"/>
  <c r="K202" i="1"/>
  <c r="L202" i="1" s="1"/>
  <c r="J202" i="1"/>
  <c r="I202" i="1"/>
  <c r="G202" i="1"/>
  <c r="H202" i="1" s="1"/>
  <c r="S197" i="1"/>
  <c r="R197" i="1"/>
  <c r="Q197" i="1"/>
  <c r="P197" i="1"/>
  <c r="O197" i="1"/>
  <c r="M197" i="1"/>
  <c r="N197" i="1" s="1"/>
  <c r="K197" i="1"/>
  <c r="L197" i="1" s="1"/>
  <c r="H197" i="1"/>
  <c r="G197" i="1"/>
  <c r="S195" i="1"/>
  <c r="R195" i="1"/>
  <c r="Q195" i="1"/>
  <c r="O195" i="1"/>
  <c r="P195" i="1" s="1"/>
  <c r="M195" i="1"/>
  <c r="N195" i="1" s="1"/>
  <c r="K195" i="1"/>
  <c r="L195" i="1" s="1"/>
  <c r="J195" i="1"/>
  <c r="I195" i="1"/>
  <c r="G195" i="1"/>
  <c r="H195" i="1" s="1"/>
  <c r="O193" i="1"/>
  <c r="P193" i="1" s="1"/>
  <c r="M193" i="1"/>
  <c r="N193" i="1" s="1"/>
  <c r="L193" i="1"/>
  <c r="K193" i="1"/>
  <c r="J193" i="1"/>
  <c r="G193" i="1"/>
  <c r="H193" i="1" s="1"/>
  <c r="P191" i="1"/>
  <c r="O191" i="1"/>
  <c r="N191" i="1"/>
  <c r="M191" i="1"/>
  <c r="K191" i="1"/>
  <c r="L191" i="1" s="1"/>
  <c r="J191" i="1"/>
  <c r="G191" i="1"/>
  <c r="H191" i="1" s="1"/>
  <c r="Q189" i="1"/>
  <c r="R189" i="1" s="1"/>
  <c r="P189" i="1"/>
  <c r="O189" i="1"/>
  <c r="M189" i="1"/>
  <c r="N189" i="1" s="1"/>
  <c r="L189" i="1"/>
  <c r="K189" i="1"/>
  <c r="I189" i="1"/>
  <c r="J189" i="1" s="1"/>
  <c r="H189" i="1"/>
  <c r="G189" i="1"/>
  <c r="G187" i="1"/>
  <c r="H187" i="1" s="1"/>
  <c r="S185" i="1"/>
  <c r="R185" i="1"/>
  <c r="Q185" i="1"/>
  <c r="P185" i="1"/>
  <c r="O185" i="1"/>
  <c r="M185" i="1"/>
  <c r="N185" i="1" s="1"/>
  <c r="K185" i="1"/>
  <c r="L185" i="1" s="1"/>
  <c r="J185" i="1"/>
  <c r="I185" i="1"/>
  <c r="S183" i="1"/>
  <c r="P183" i="1"/>
  <c r="O183" i="1"/>
  <c r="M183" i="1"/>
  <c r="N183" i="1" s="1"/>
  <c r="K183" i="1"/>
  <c r="L183" i="1" s="1"/>
  <c r="I183" i="1"/>
  <c r="J183" i="1" s="1"/>
  <c r="H183" i="1"/>
  <c r="G183" i="1"/>
  <c r="S181" i="1"/>
  <c r="Q181" i="1"/>
  <c r="R181" i="1" s="1"/>
  <c r="P181" i="1"/>
  <c r="O181" i="1"/>
  <c r="N181" i="1"/>
  <c r="M181" i="1"/>
  <c r="K181" i="1"/>
  <c r="L181" i="1" s="1"/>
  <c r="J181" i="1"/>
  <c r="I181" i="1"/>
  <c r="H181" i="1"/>
  <c r="G181" i="1"/>
  <c r="S179" i="1"/>
  <c r="R179" i="1"/>
  <c r="Q179" i="1"/>
  <c r="O179" i="1"/>
  <c r="P179" i="1" s="1"/>
  <c r="N179" i="1"/>
  <c r="M179" i="1"/>
  <c r="K179" i="1"/>
  <c r="L179" i="1" s="1"/>
  <c r="J179" i="1"/>
  <c r="I179" i="1"/>
  <c r="G179" i="1"/>
  <c r="H179" i="1" s="1"/>
  <c r="S177" i="1"/>
  <c r="R177" i="1"/>
  <c r="Q177" i="1"/>
  <c r="P177" i="1"/>
  <c r="O177" i="1"/>
  <c r="M177" i="1"/>
  <c r="N177" i="1" s="1"/>
  <c r="L177" i="1"/>
  <c r="K177" i="1"/>
  <c r="H177" i="1"/>
  <c r="G177" i="1"/>
  <c r="S175" i="1"/>
  <c r="R175" i="1"/>
  <c r="Q175" i="1"/>
  <c r="O175" i="1"/>
  <c r="P175" i="1" s="1"/>
  <c r="N175" i="1"/>
  <c r="M175" i="1"/>
  <c r="K175" i="1"/>
  <c r="L175" i="1" s="1"/>
  <c r="J175" i="1"/>
  <c r="I175" i="1"/>
  <c r="G175" i="1"/>
  <c r="H175" i="1" s="1"/>
  <c r="G173" i="1"/>
  <c r="H173" i="1" s="1"/>
  <c r="S171" i="1"/>
  <c r="R171" i="1"/>
  <c r="Q171" i="1"/>
  <c r="O171" i="1"/>
  <c r="P171" i="1" s="1"/>
  <c r="N171" i="1"/>
  <c r="M171" i="1"/>
  <c r="L171" i="1"/>
  <c r="K171" i="1"/>
  <c r="J171" i="1"/>
  <c r="I171" i="1"/>
  <c r="G171" i="1"/>
  <c r="H171" i="1" s="1"/>
  <c r="K169" i="1"/>
  <c r="J169" i="1"/>
  <c r="I169" i="1"/>
  <c r="O167" i="1"/>
  <c r="P167" i="1" s="1"/>
  <c r="N167" i="1"/>
  <c r="M167" i="1"/>
  <c r="K167" i="1"/>
  <c r="L167" i="1" s="1"/>
  <c r="J167" i="1"/>
  <c r="H167" i="1"/>
  <c r="S165" i="1"/>
  <c r="R165" i="1"/>
  <c r="Q165" i="1"/>
  <c r="O165" i="1"/>
  <c r="P165" i="1" s="1"/>
  <c r="N165" i="1"/>
  <c r="M165" i="1"/>
  <c r="L165" i="1"/>
  <c r="K165" i="1"/>
  <c r="J165" i="1"/>
  <c r="I165" i="1"/>
  <c r="G165" i="1"/>
  <c r="H165" i="1" s="1"/>
  <c r="O163" i="1"/>
  <c r="P163" i="1" s="1"/>
  <c r="N163" i="1"/>
  <c r="M163" i="1"/>
  <c r="L163" i="1"/>
  <c r="K163" i="1"/>
  <c r="I163" i="1"/>
  <c r="J163" i="1" s="1"/>
  <c r="G163" i="1"/>
  <c r="H163" i="1" s="1"/>
  <c r="S161" i="1"/>
  <c r="Q161" i="1"/>
  <c r="R161" i="1" s="1"/>
  <c r="P161" i="1"/>
  <c r="O161" i="1"/>
  <c r="M161" i="1"/>
  <c r="N161" i="1" s="1"/>
  <c r="K161" i="1"/>
  <c r="L161" i="1" s="1"/>
  <c r="I161" i="1"/>
  <c r="J161" i="1" s="1"/>
  <c r="H161" i="1"/>
  <c r="G161" i="1"/>
  <c r="S159" i="1"/>
  <c r="R159" i="1"/>
  <c r="Q159" i="1"/>
  <c r="P159" i="1"/>
  <c r="O159" i="1"/>
  <c r="N159" i="1"/>
  <c r="M159" i="1"/>
  <c r="K159" i="1"/>
  <c r="L159" i="1" s="1"/>
  <c r="I159" i="1"/>
  <c r="J159" i="1" s="1"/>
  <c r="H159" i="1"/>
  <c r="G159" i="1"/>
  <c r="R154" i="1"/>
  <c r="Q154" i="1"/>
  <c r="O154" i="1"/>
  <c r="P154" i="1" s="1"/>
  <c r="M154" i="1"/>
  <c r="N154" i="1" s="1"/>
  <c r="L154" i="1"/>
  <c r="K154" i="1"/>
  <c r="P152" i="1"/>
  <c r="O152" i="1"/>
  <c r="M152" i="1"/>
  <c r="N152" i="1" s="1"/>
  <c r="L152" i="1"/>
  <c r="K152" i="1"/>
  <c r="J152" i="1"/>
  <c r="I152" i="1"/>
  <c r="R150" i="1"/>
  <c r="Q150" i="1"/>
  <c r="O150" i="1"/>
  <c r="P150" i="1" s="1"/>
  <c r="M150" i="1"/>
  <c r="N150" i="1" s="1"/>
  <c r="L150" i="1"/>
  <c r="K150" i="1"/>
  <c r="J150" i="1"/>
  <c r="I150" i="1"/>
  <c r="O148" i="1"/>
  <c r="P148" i="1" s="1"/>
  <c r="M148" i="1"/>
  <c r="N148" i="1" s="1"/>
  <c r="L144" i="1"/>
  <c r="K144" i="1"/>
  <c r="J144" i="1"/>
  <c r="I144" i="1"/>
  <c r="M142" i="1"/>
  <c r="N142" i="1" s="1"/>
  <c r="K142" i="1"/>
  <c r="L142" i="1" s="1"/>
  <c r="L140" i="1"/>
  <c r="K140" i="1"/>
  <c r="N138" i="1"/>
  <c r="M138" i="1"/>
  <c r="K138" i="1"/>
  <c r="L138" i="1" s="1"/>
  <c r="J133" i="1"/>
  <c r="I133" i="1"/>
  <c r="H133" i="1"/>
  <c r="G133" i="1"/>
  <c r="L129" i="1"/>
  <c r="K129" i="1"/>
  <c r="I129" i="1"/>
  <c r="J129" i="1" s="1"/>
  <c r="H129" i="1"/>
  <c r="G129" i="1"/>
  <c r="J127" i="1"/>
  <c r="I127" i="1"/>
  <c r="H127" i="1"/>
  <c r="G127" i="1"/>
  <c r="I125" i="1"/>
  <c r="J125" i="1" s="1"/>
  <c r="O123" i="1"/>
  <c r="P123" i="1" s="1"/>
  <c r="N123" i="1"/>
  <c r="M123" i="1"/>
  <c r="L123" i="1"/>
  <c r="K123" i="1"/>
  <c r="I123" i="1"/>
  <c r="J123" i="1" s="1"/>
  <c r="G123" i="1"/>
  <c r="H123" i="1" s="1"/>
  <c r="R122" i="1"/>
  <c r="Q122" i="1"/>
  <c r="P122" i="1"/>
  <c r="O122" i="1"/>
  <c r="M122" i="1"/>
  <c r="N122" i="1" s="1"/>
  <c r="L122" i="1"/>
  <c r="K122" i="1"/>
  <c r="J122" i="1"/>
  <c r="I122" i="1"/>
  <c r="N121" i="1"/>
  <c r="M121" i="1"/>
  <c r="K121" i="1"/>
  <c r="L121" i="1" s="1"/>
  <c r="I121" i="1"/>
  <c r="J121" i="1" s="1"/>
  <c r="S119" i="1"/>
  <c r="Q119" i="1"/>
  <c r="R119" i="1" s="1"/>
  <c r="P119" i="1"/>
  <c r="O119" i="1"/>
  <c r="M119" i="1"/>
  <c r="N119" i="1" s="1"/>
  <c r="K119" i="1"/>
  <c r="L119" i="1" s="1"/>
  <c r="I119" i="1"/>
  <c r="J119" i="1" s="1"/>
  <c r="H119" i="1"/>
  <c r="G119" i="1"/>
  <c r="S117" i="1"/>
  <c r="P117" i="1"/>
  <c r="O117" i="1"/>
  <c r="N117" i="1"/>
  <c r="M117" i="1"/>
  <c r="L117" i="1"/>
  <c r="K117" i="1"/>
  <c r="I117" i="1"/>
  <c r="J117" i="1" s="1"/>
  <c r="H117" i="1"/>
  <c r="G117" i="1"/>
  <c r="N114" i="1"/>
  <c r="M114" i="1"/>
  <c r="L114" i="1"/>
  <c r="K114" i="1"/>
  <c r="I114" i="1"/>
  <c r="J114" i="1" s="1"/>
  <c r="G114" i="1"/>
  <c r="H114" i="1" s="1"/>
  <c r="P112" i="1"/>
  <c r="O112" i="1"/>
  <c r="N112" i="1"/>
  <c r="M112" i="1"/>
  <c r="K112" i="1"/>
  <c r="L112" i="1" s="1"/>
  <c r="I112" i="1"/>
  <c r="J112" i="1" s="1"/>
  <c r="H112" i="1"/>
  <c r="G112" i="1"/>
  <c r="P111" i="1"/>
  <c r="O111" i="1"/>
  <c r="M111" i="1"/>
  <c r="N111" i="1" s="1"/>
  <c r="L111" i="1"/>
  <c r="K111" i="1"/>
  <c r="N110" i="1"/>
  <c r="M110" i="1"/>
  <c r="L110" i="1"/>
  <c r="K110" i="1"/>
  <c r="I110" i="1"/>
  <c r="J110" i="1" s="1"/>
  <c r="Q108" i="1"/>
  <c r="R108" i="1" s="1"/>
  <c r="P108" i="1"/>
  <c r="O108" i="1"/>
  <c r="N108" i="1"/>
  <c r="M108" i="1"/>
  <c r="K108" i="1"/>
  <c r="L108" i="1" s="1"/>
  <c r="I108" i="1"/>
  <c r="J108" i="1" s="1"/>
  <c r="H108" i="1"/>
  <c r="G108" i="1"/>
  <c r="L107" i="1"/>
  <c r="K107" i="1"/>
  <c r="M105" i="1"/>
  <c r="N105" i="1" s="1"/>
  <c r="K105" i="1"/>
  <c r="L105" i="1" s="1"/>
  <c r="J105" i="1"/>
  <c r="I105" i="1"/>
  <c r="R104" i="1"/>
  <c r="Q104" i="1"/>
  <c r="O104" i="1"/>
  <c r="P104" i="1" s="1"/>
  <c r="N104" i="1"/>
  <c r="M104" i="1"/>
  <c r="L104" i="1"/>
  <c r="K104" i="1"/>
  <c r="J104" i="1"/>
  <c r="I104" i="1"/>
  <c r="G104" i="1"/>
  <c r="H104" i="1" s="1"/>
  <c r="N102" i="1"/>
  <c r="M102" i="1"/>
  <c r="L102" i="1"/>
  <c r="K102" i="1"/>
  <c r="J102" i="1"/>
  <c r="P101" i="1"/>
  <c r="O101" i="1"/>
  <c r="M101" i="1"/>
  <c r="N101" i="1" s="1"/>
  <c r="L101" i="1"/>
  <c r="K101" i="1"/>
  <c r="I101" i="1"/>
  <c r="J101" i="1" s="1"/>
  <c r="H101" i="1"/>
  <c r="G101" i="1"/>
  <c r="S100" i="1"/>
  <c r="Q100" i="1"/>
  <c r="R100" i="1" s="1"/>
  <c r="P100" i="1"/>
  <c r="O100" i="1"/>
  <c r="N100" i="1"/>
  <c r="M100" i="1"/>
  <c r="K100" i="1"/>
  <c r="L100" i="1" s="1"/>
  <c r="J100" i="1"/>
  <c r="I100" i="1"/>
  <c r="R98" i="1"/>
  <c r="Q98" i="1"/>
  <c r="P98" i="1"/>
  <c r="O98" i="1"/>
  <c r="M98" i="1"/>
  <c r="N98" i="1" s="1"/>
  <c r="K98" i="1"/>
  <c r="L98" i="1" s="1"/>
  <c r="J98" i="1"/>
  <c r="I98" i="1"/>
  <c r="H98" i="1"/>
  <c r="G98" i="1"/>
  <c r="H96" i="1"/>
  <c r="G96" i="1"/>
  <c r="O94" i="1"/>
  <c r="P94" i="1" s="1"/>
  <c r="N94" i="1"/>
  <c r="M94" i="1"/>
  <c r="L94" i="1"/>
  <c r="K94" i="1"/>
  <c r="J94" i="1"/>
  <c r="G94" i="1"/>
  <c r="H94" i="1" s="1"/>
  <c r="O93" i="1"/>
  <c r="P93" i="1" s="1"/>
  <c r="M93" i="1"/>
  <c r="N93" i="1" s="1"/>
  <c r="L93" i="1"/>
  <c r="K93" i="1"/>
  <c r="I93" i="1"/>
  <c r="J93" i="1" s="1"/>
  <c r="O92" i="1"/>
  <c r="P92" i="1" s="1"/>
  <c r="M92" i="1"/>
  <c r="N92" i="1" s="1"/>
  <c r="L92" i="1"/>
  <c r="K92" i="1"/>
  <c r="I92" i="1"/>
  <c r="J92" i="1" s="1"/>
  <c r="P90" i="1"/>
  <c r="O90" i="1"/>
  <c r="M90" i="1"/>
  <c r="N90" i="1" s="1"/>
  <c r="L90" i="1"/>
  <c r="K90" i="1"/>
  <c r="I90" i="1"/>
  <c r="J90" i="1" s="1"/>
  <c r="G90" i="1"/>
  <c r="H90" i="1" s="1"/>
  <c r="O88" i="1"/>
  <c r="P88" i="1" s="1"/>
  <c r="N88" i="1"/>
  <c r="M88" i="1"/>
  <c r="K88" i="1"/>
  <c r="L88" i="1" s="1"/>
  <c r="I88" i="1"/>
  <c r="J88" i="1" s="1"/>
  <c r="G88" i="1"/>
  <c r="H88" i="1" s="1"/>
  <c r="S87" i="1"/>
  <c r="Q87" i="1"/>
  <c r="R87" i="1" s="1"/>
  <c r="P87" i="1"/>
  <c r="O87" i="1"/>
  <c r="N87" i="1"/>
  <c r="K87" i="1"/>
  <c r="L87" i="1" s="1"/>
  <c r="J87" i="1"/>
  <c r="I87" i="1"/>
  <c r="O86" i="1"/>
  <c r="P86" i="1" s="1"/>
  <c r="N86" i="1"/>
  <c r="M86" i="1"/>
  <c r="K86" i="1"/>
  <c r="L86" i="1" s="1"/>
  <c r="J86" i="1"/>
  <c r="I86" i="1"/>
  <c r="O84" i="1"/>
  <c r="P84" i="1" s="1"/>
  <c r="M84" i="1"/>
  <c r="N84" i="1" s="1"/>
  <c r="K84" i="1"/>
  <c r="L84" i="1" s="1"/>
  <c r="J84" i="1"/>
  <c r="I84" i="1"/>
  <c r="G84" i="1"/>
  <c r="H84" i="1" s="1"/>
  <c r="O83" i="1"/>
  <c r="P83" i="1" s="1"/>
  <c r="M83" i="1"/>
  <c r="N83" i="1" s="1"/>
  <c r="L83" i="1"/>
  <c r="K83" i="1"/>
  <c r="I83" i="1"/>
  <c r="J83" i="1" s="1"/>
  <c r="D82" i="1"/>
  <c r="P81" i="1"/>
  <c r="O81" i="1"/>
  <c r="N81" i="1"/>
  <c r="M81" i="1"/>
  <c r="K81" i="1"/>
  <c r="L81" i="1" s="1"/>
  <c r="J81" i="1"/>
  <c r="I81" i="1"/>
  <c r="H81" i="1"/>
  <c r="G81" i="1"/>
  <c r="S80" i="1"/>
  <c r="P80" i="1"/>
  <c r="O80" i="1"/>
  <c r="M80" i="1"/>
  <c r="N80" i="1" s="1"/>
  <c r="L80" i="1"/>
  <c r="K80" i="1"/>
  <c r="I80" i="1"/>
  <c r="J80" i="1" s="1"/>
  <c r="N79" i="1"/>
  <c r="M79" i="1"/>
  <c r="K79" i="1"/>
  <c r="L79" i="1" s="1"/>
  <c r="I79" i="1"/>
  <c r="J79" i="1" s="1"/>
  <c r="M77" i="1"/>
  <c r="N77" i="1" s="1"/>
  <c r="L77" i="1"/>
  <c r="K77" i="1"/>
  <c r="I77" i="1"/>
  <c r="J77" i="1" s="1"/>
  <c r="G77" i="1"/>
  <c r="H77" i="1" s="1"/>
  <c r="M75" i="1"/>
  <c r="N75" i="1" s="1"/>
  <c r="L75" i="1"/>
  <c r="K75" i="1"/>
  <c r="I75" i="1"/>
  <c r="J75" i="1" s="1"/>
  <c r="G75" i="1"/>
  <c r="H75" i="1" s="1"/>
  <c r="M74" i="1"/>
  <c r="N74" i="1" s="1"/>
  <c r="L74" i="1"/>
  <c r="K74" i="1"/>
  <c r="I74" i="1"/>
  <c r="J74" i="1" s="1"/>
  <c r="S70" i="1"/>
  <c r="P70" i="1"/>
  <c r="O70" i="1"/>
  <c r="N70" i="1"/>
  <c r="M70" i="1"/>
  <c r="K70" i="1"/>
  <c r="L70" i="1" s="1"/>
  <c r="I70" i="1"/>
  <c r="J70" i="1" s="1"/>
  <c r="H70" i="1"/>
  <c r="M68" i="1"/>
  <c r="N68" i="1" s="1"/>
  <c r="L68" i="1"/>
  <c r="K68" i="1"/>
  <c r="O66" i="1"/>
  <c r="P66" i="1" s="1"/>
  <c r="N66" i="1"/>
  <c r="M66" i="1"/>
  <c r="K66" i="1"/>
  <c r="L66" i="1" s="1"/>
  <c r="P64" i="1"/>
  <c r="O64" i="1"/>
  <c r="M64" i="1"/>
  <c r="N64" i="1" s="1"/>
  <c r="K64" i="1"/>
  <c r="L64" i="1" s="1"/>
  <c r="O62" i="1"/>
  <c r="P62" i="1" s="1"/>
  <c r="N62" i="1"/>
  <c r="M62" i="1"/>
  <c r="K62" i="1"/>
  <c r="L62" i="1" s="1"/>
  <c r="P60" i="1"/>
  <c r="O60" i="1"/>
  <c r="M60" i="1"/>
  <c r="N60" i="1" s="1"/>
  <c r="L60" i="1"/>
  <c r="K60" i="1"/>
  <c r="Q58" i="1"/>
  <c r="R58" i="1" s="1"/>
  <c r="O58" i="1"/>
  <c r="P58" i="1" s="1"/>
  <c r="M58" i="1"/>
  <c r="N58" i="1" s="1"/>
  <c r="L58" i="1"/>
  <c r="K58" i="1"/>
  <c r="J58" i="1"/>
  <c r="I58" i="1"/>
  <c r="Q57" i="1"/>
  <c r="R57" i="1" s="1"/>
  <c r="O57" i="1"/>
  <c r="P57" i="1" s="1"/>
  <c r="N57" i="1"/>
  <c r="M57" i="1"/>
  <c r="L57" i="1"/>
  <c r="K57" i="1"/>
  <c r="J57" i="1"/>
  <c r="I57" i="1"/>
  <c r="K55" i="1"/>
  <c r="L55" i="1" s="1"/>
  <c r="H55" i="1"/>
  <c r="S50" i="1"/>
  <c r="O50" i="1"/>
  <c r="P50" i="1" s="1"/>
  <c r="M50" i="1"/>
  <c r="N50" i="1" s="1"/>
  <c r="K50" i="1"/>
  <c r="L50" i="1" s="1"/>
  <c r="J50" i="1"/>
  <c r="I50" i="1"/>
  <c r="S48" i="1"/>
  <c r="P48" i="1"/>
  <c r="O48" i="1"/>
  <c r="N48" i="1"/>
  <c r="M48" i="1"/>
  <c r="L48" i="1"/>
  <c r="K48" i="1"/>
  <c r="I48" i="1"/>
  <c r="J48" i="1" s="1"/>
  <c r="H48" i="1"/>
  <c r="G48" i="1"/>
  <c r="S46" i="1"/>
  <c r="Q46" i="1"/>
  <c r="R46" i="1" s="1"/>
  <c r="P46" i="1"/>
  <c r="O46" i="1"/>
  <c r="M46" i="1"/>
  <c r="N46" i="1" s="1"/>
  <c r="L46" i="1"/>
  <c r="K46" i="1"/>
  <c r="I46" i="1"/>
  <c r="J46" i="1" s="1"/>
  <c r="N44" i="1"/>
  <c r="M44" i="1"/>
  <c r="L44" i="1"/>
  <c r="K44" i="1"/>
  <c r="I44" i="1"/>
  <c r="J44" i="1" s="1"/>
  <c r="G44" i="1"/>
  <c r="H44" i="1" s="1"/>
  <c r="P43" i="1"/>
  <c r="O43" i="1"/>
  <c r="M43" i="1"/>
  <c r="N43" i="1" s="1"/>
  <c r="K43" i="1"/>
  <c r="L43" i="1" s="1"/>
  <c r="I43" i="1"/>
  <c r="J43" i="1" s="1"/>
  <c r="S41" i="1"/>
  <c r="Q41" i="1"/>
  <c r="R41" i="1" s="1"/>
  <c r="O41" i="1"/>
  <c r="P41" i="1" s="1"/>
  <c r="N41" i="1"/>
  <c r="M41" i="1"/>
  <c r="K41" i="1"/>
  <c r="L41" i="1" s="1"/>
  <c r="I41" i="1"/>
  <c r="J41" i="1" s="1"/>
  <c r="G41" i="1"/>
  <c r="H41" i="1" s="1"/>
  <c r="Q39" i="1"/>
  <c r="R39" i="1" s="1"/>
  <c r="O39" i="1"/>
  <c r="P39" i="1" s="1"/>
  <c r="M39" i="1"/>
  <c r="N39" i="1" s="1"/>
  <c r="L39" i="1"/>
  <c r="K39" i="1"/>
  <c r="I39" i="1"/>
  <c r="J39" i="1" s="1"/>
  <c r="H39" i="1"/>
  <c r="G39" i="1"/>
  <c r="R37" i="1"/>
  <c r="Q37" i="1"/>
  <c r="P37" i="1"/>
  <c r="O37" i="1"/>
  <c r="M37" i="1"/>
  <c r="N37" i="1" s="1"/>
  <c r="L37" i="1"/>
  <c r="K37" i="1"/>
  <c r="I37" i="1"/>
  <c r="J37" i="1" s="1"/>
  <c r="H37" i="1"/>
  <c r="G37" i="1"/>
  <c r="S35" i="1"/>
  <c r="Q35" i="1"/>
  <c r="R35" i="1" s="1"/>
  <c r="P35" i="1"/>
  <c r="O35" i="1"/>
  <c r="M35" i="1"/>
  <c r="N35" i="1" s="1"/>
  <c r="L35" i="1"/>
  <c r="K35" i="1"/>
  <c r="I35" i="1"/>
  <c r="J35" i="1" s="1"/>
  <c r="H35" i="1"/>
  <c r="G35" i="1"/>
  <c r="O33" i="1"/>
  <c r="P33" i="1" s="1"/>
  <c r="N33" i="1"/>
  <c r="M33" i="1"/>
  <c r="K33" i="1"/>
  <c r="L33" i="1" s="1"/>
  <c r="J33" i="1"/>
  <c r="I33" i="1"/>
  <c r="G33" i="1"/>
  <c r="H33" i="1" s="1"/>
  <c r="S31" i="1"/>
  <c r="Q31" i="1"/>
  <c r="R31" i="1" s="1"/>
  <c r="O31" i="1"/>
  <c r="P31" i="1" s="1"/>
  <c r="M31" i="1"/>
  <c r="N31" i="1" s="1"/>
  <c r="K31" i="1"/>
  <c r="L31" i="1" s="1"/>
  <c r="J31" i="1"/>
  <c r="I31" i="1"/>
  <c r="G31" i="1"/>
  <c r="H31" i="1" s="1"/>
  <c r="S29" i="1"/>
  <c r="Q29" i="1"/>
  <c r="R29" i="1" s="1"/>
  <c r="P29" i="1"/>
  <c r="O29" i="1"/>
  <c r="M29" i="1"/>
  <c r="N29" i="1" s="1"/>
  <c r="L29" i="1"/>
  <c r="K29" i="1"/>
  <c r="I29" i="1"/>
  <c r="J29" i="1" s="1"/>
  <c r="H29" i="1"/>
  <c r="G29" i="1"/>
  <c r="O27" i="1"/>
  <c r="P27" i="1" s="1"/>
  <c r="N27" i="1"/>
  <c r="M27" i="1"/>
  <c r="K27" i="1"/>
  <c r="L27" i="1" s="1"/>
  <c r="J27" i="1"/>
  <c r="I27" i="1"/>
  <c r="G27" i="1"/>
  <c r="H27" i="1" s="1"/>
  <c r="R25" i="1"/>
  <c r="Q25" i="1"/>
  <c r="O25" i="1"/>
  <c r="P25" i="1" s="1"/>
  <c r="N25" i="1"/>
  <c r="M25" i="1"/>
  <c r="K25" i="1"/>
  <c r="L25" i="1" s="1"/>
  <c r="J25" i="1"/>
  <c r="I25" i="1"/>
  <c r="H25" i="1"/>
  <c r="S24" i="1"/>
  <c r="R24" i="1"/>
  <c r="Q24" i="1"/>
  <c r="O24" i="1"/>
  <c r="P24" i="1" s="1"/>
  <c r="N24" i="1"/>
  <c r="M24" i="1"/>
  <c r="K24" i="1"/>
  <c r="L24" i="1" s="1"/>
  <c r="J24" i="1"/>
  <c r="I24" i="1"/>
  <c r="G24" i="1"/>
  <c r="H24" i="1" s="1"/>
  <c r="S22" i="1"/>
  <c r="Q22" i="1"/>
  <c r="R22" i="1" s="1"/>
  <c r="O22" i="1"/>
  <c r="P22" i="1" s="1"/>
  <c r="N22" i="1"/>
  <c r="M22" i="1"/>
  <c r="K22" i="1"/>
  <c r="L22" i="1" s="1"/>
  <c r="I22" i="1"/>
  <c r="J22" i="1" s="1"/>
  <c r="H22" i="1"/>
  <c r="G22" i="1"/>
  <c r="O20" i="1"/>
  <c r="P20" i="1" s="1"/>
  <c r="N20" i="1"/>
  <c r="M20" i="1"/>
  <c r="K20" i="1"/>
  <c r="L20" i="1" s="1"/>
  <c r="I20" i="1"/>
  <c r="J20" i="1" s="1"/>
  <c r="G20" i="1"/>
  <c r="H20" i="1" s="1"/>
  <c r="S18" i="1"/>
  <c r="R18" i="1"/>
  <c r="Q18" i="1"/>
  <c r="O18" i="1"/>
  <c r="P18" i="1" s="1"/>
  <c r="N18" i="1"/>
  <c r="M18" i="1"/>
  <c r="K18" i="1"/>
  <c r="L18" i="1" s="1"/>
  <c r="J18" i="1"/>
  <c r="I18" i="1"/>
  <c r="S17" i="1"/>
  <c r="Q17" i="1"/>
  <c r="R17" i="1" s="1"/>
  <c r="O17" i="1"/>
  <c r="P17" i="1" s="1"/>
  <c r="N17" i="1"/>
  <c r="M17" i="1"/>
  <c r="K17" i="1"/>
  <c r="L17" i="1" s="1"/>
  <c r="I17" i="1"/>
  <c r="J17" i="1" s="1"/>
  <c r="S16" i="1"/>
  <c r="Q16" i="1"/>
  <c r="R16" i="1" s="1"/>
  <c r="P16" i="1"/>
  <c r="O16" i="1"/>
  <c r="M16" i="1"/>
  <c r="N16" i="1" s="1"/>
  <c r="K16" i="1"/>
  <c r="L16" i="1" s="1"/>
  <c r="I16" i="1"/>
  <c r="J16" i="1" s="1"/>
  <c r="H16" i="1"/>
  <c r="G16" i="1"/>
  <c r="O14" i="1"/>
  <c r="P14" i="1" s="1"/>
  <c r="M14" i="1"/>
  <c r="N14" i="1" s="1"/>
  <c r="K14" i="1"/>
  <c r="L14" i="1" s="1"/>
  <c r="S12" i="1"/>
  <c r="Q12" i="1"/>
  <c r="R12" i="1" s="1"/>
  <c r="O12" i="1"/>
  <c r="P12" i="1" s="1"/>
  <c r="M12" i="1"/>
  <c r="N12" i="1" s="1"/>
  <c r="K12" i="1"/>
  <c r="L12" i="1" s="1"/>
  <c r="I12" i="1"/>
  <c r="J12" i="1" s="1"/>
  <c r="R11" i="1"/>
  <c r="Q11" i="1"/>
  <c r="O11" i="1"/>
  <c r="P11" i="1" s="1"/>
  <c r="N11" i="1"/>
  <c r="M11" i="1"/>
  <c r="K11" i="1"/>
  <c r="L11" i="1" s="1"/>
  <c r="J11" i="1"/>
  <c r="I11" i="1"/>
  <c r="G11" i="1"/>
  <c r="H11" i="1" s="1"/>
  <c r="O9" i="1"/>
  <c r="P9" i="1" s="1"/>
  <c r="M9" i="1"/>
  <c r="N9" i="1" s="1"/>
  <c r="K9" i="1"/>
  <c r="L9" i="1" s="1"/>
  <c r="J9" i="1"/>
  <c r="I9" i="1"/>
  <c r="O8" i="1"/>
  <c r="P8" i="1" s="1"/>
  <c r="M8" i="1"/>
  <c r="N8" i="1" s="1"/>
  <c r="K8" i="1"/>
  <c r="L8" i="1" s="1"/>
  <c r="J8" i="1"/>
  <c r="I8" i="1"/>
  <c r="G8" i="1"/>
  <c r="H8" i="1" s="1"/>
  <c r="O7" i="1"/>
  <c r="P7" i="1" s="1"/>
  <c r="N7" i="1"/>
  <c r="M7" i="1"/>
  <c r="K7" i="1"/>
  <c r="L7" i="1" s="1"/>
  <c r="J7" i="1"/>
  <c r="I7" i="1"/>
</calcChain>
</file>

<file path=xl/sharedStrings.xml><?xml version="1.0" encoding="utf-8"?>
<sst xmlns="http://schemas.openxmlformats.org/spreadsheetml/2006/main" count="1447" uniqueCount="460">
  <si>
    <t>CURRENT INVENTORY AND PRICES FOR NGC-GRADED ROMAN COINS, updated January 31, 2023</t>
  </si>
  <si>
    <t>**DELIVERIES OF F, VF, XF, and AU GRADES MAY INCLUDE "CHOICE" COINS</t>
  </si>
  <si>
    <t>*** unless specified  otherwise</t>
  </si>
  <si>
    <t xml:space="preserve"> </t>
  </si>
  <si>
    <t>Theme- House of Constantine</t>
  </si>
  <si>
    <t>VG ungraded*Mixed sizes</t>
  </si>
  <si>
    <t>F**</t>
  </si>
  <si>
    <t>VF**</t>
  </si>
  <si>
    <t>XF**</t>
  </si>
  <si>
    <t>AU**</t>
  </si>
  <si>
    <t>CH-AU</t>
  </si>
  <si>
    <t>MS</t>
  </si>
  <si>
    <t>*mixed reverses unless indicated</t>
  </si>
  <si>
    <t xml:space="preserve">PORTRAIT </t>
  </si>
  <si>
    <t>reverse</t>
  </si>
  <si>
    <t>notes</t>
  </si>
  <si>
    <t>SIZE</t>
  </si>
  <si>
    <t>PRICE TIER</t>
  </si>
  <si>
    <t>QTY</t>
  </si>
  <si>
    <t>PRICE</t>
  </si>
  <si>
    <t>https://www.educationalcoin.com/product-category/ancient-historical/ngc-certified-slabs/?_ruler_for_landing_page=d6f4694dbc1c5ca1e65521862ed1bcee</t>
  </si>
  <si>
    <t>Constantius I (Chlorus)</t>
  </si>
  <si>
    <t>father of Constantine</t>
  </si>
  <si>
    <t>AE1</t>
  </si>
  <si>
    <t>tbd</t>
  </si>
  <si>
    <t>Antoninianus</t>
  </si>
  <si>
    <t>1/4 nummus</t>
  </si>
  <si>
    <t>https://www.educationalcoin.com/product-category/ancient-historical/ngc-certified-slabs/?_ruler_for_landing_page=helena</t>
  </si>
  <si>
    <t>Helena</t>
  </si>
  <si>
    <t>mother of Constantine</t>
  </si>
  <si>
    <t>AE4</t>
  </si>
  <si>
    <t>AE3</t>
  </si>
  <si>
    <t>https://www.educationalcoin.com/product-category/ancient-historical/ngc-certified-slabs/?_ruler_for_landing_page=theodora</t>
  </si>
  <si>
    <t>Theodora</t>
  </si>
  <si>
    <t>Second wife of Constantius I</t>
  </si>
  <si>
    <t>https://www.educationalcoin.com/product-category/ancient-historical/ngc-certified-slabs/?_ruler_for_landing_page=constantine-the-great</t>
  </si>
  <si>
    <t>Constantine I (the great)</t>
  </si>
  <si>
    <t>AE3/4</t>
  </si>
  <si>
    <t>https://www.educationalcoin.com/product-category/ancient-historical/ngc-certified-slabs/?_subcategory=sol</t>
  </si>
  <si>
    <t>Sol Invictus</t>
  </si>
  <si>
    <t>AE2/3</t>
  </si>
  <si>
    <t>https://www.educationalcoin.com/product-category/ancient-historical/ngc-certified-slabs/?_subcategory=jovi</t>
  </si>
  <si>
    <t>Jovi Conservatori</t>
  </si>
  <si>
    <t>https://www.educationalcoin.com/product-category/ancient-historical/ngc-certified-slabs/?_ruler_for_landing_page=fausta</t>
  </si>
  <si>
    <t>Fausta</t>
  </si>
  <si>
    <t>Wife of Constantine</t>
  </si>
  <si>
    <t>https://www.educationalcoin.com/product-category/ancient-historical/ngc-certified-slabs/?_ruler_for_landing_page=crispus</t>
  </si>
  <si>
    <t>Crispus</t>
  </si>
  <si>
    <t>son of Constantine</t>
  </si>
  <si>
    <t>https://www.educationalcoin.com/product-category/ancient-historical/ngc-certified-slabs/?_ruler_for_landing_page=licinius-i</t>
  </si>
  <si>
    <t>Licinius I</t>
  </si>
  <si>
    <t>relative of Constantine / rival</t>
  </si>
  <si>
    <t>https://www.educationalcoin.com/product-category/ancient-historical/ngc-certified-slabs/?_ruler_for_landing_page=licinius-ii</t>
  </si>
  <si>
    <t>Licinius II</t>
  </si>
  <si>
    <t>relative of Constantine</t>
  </si>
  <si>
    <t>https://www.educationalcoin.com/product-category/ancient-historical/ngc-certified-slabs/?_ruler_for_landing_page=constantine-ii</t>
  </si>
  <si>
    <t>Constantine II (Junior)</t>
  </si>
  <si>
    <t>https://www.educationalcoin.com/product-category/ancient-historical/ngc-certified-slabs/?_ruler_for_landing_page=constans</t>
  </si>
  <si>
    <t>Constans</t>
  </si>
  <si>
    <t>https://www.educationalcoin.com/product-category/ancient-historical/ngc-certified-slabs/?_ruler_for_landing_page=delmatius</t>
  </si>
  <si>
    <t>Delmatius</t>
  </si>
  <si>
    <t>https://www.educationalcoin.com/product-category/ancient-historical/ngc-certified-slabs/?_ruler_for_landing_page=constantius-ii</t>
  </si>
  <si>
    <t>Constantius II</t>
  </si>
  <si>
    <t>Constantius II (Gladiator)</t>
  </si>
  <si>
    <t xml:space="preserve"> Fallen Horseman</t>
  </si>
  <si>
    <t>https://www.educationalcoin.com/product-category/ancient-historical/ngc-certified-slabs/?_ruler_for_landing_page=constantius-gallus</t>
  </si>
  <si>
    <t>Constantius Gallus</t>
  </si>
  <si>
    <t>https://www.educationalcoin.com/product-category/ancient-historical/ngc-certified-slabs/?_ruler_for_landing_page=jovian</t>
  </si>
  <si>
    <t>Jovian</t>
  </si>
  <si>
    <t>last of the dynasty</t>
  </si>
  <si>
    <t>https://www.educationalcoin.com/product-category/ancient-historical/ngc-certified-slabs/?_ruler_for_landing_page=julian-ii-the-apostate</t>
  </si>
  <si>
    <t xml:space="preserve">Julian II - as AVG - helmeted </t>
  </si>
  <si>
    <t>Julian II - as CAES - bare head</t>
  </si>
  <si>
    <t>https://www.educationalcoin.com/product-category/ancient-historical/ngc-certified-slabs/?_ruler_for_landing_page=constantinopolis</t>
  </si>
  <si>
    <t>Constantinopolis</t>
  </si>
  <si>
    <t>Victory</t>
  </si>
  <si>
    <t>commemorative</t>
  </si>
  <si>
    <t>https://www.educationalcoin.com/product-category/ancient-historical/ngc-certified-slabs/?_ruler_for_landing_page=urbs-roma</t>
  </si>
  <si>
    <t>Urbs Roma</t>
  </si>
  <si>
    <t>Wolf and Twins</t>
  </si>
  <si>
    <t>https://www.educationalcoin.com/?s=%22manus+Dei%22</t>
  </si>
  <si>
    <t>Constantine Posthumous</t>
  </si>
  <si>
    <t>Quadrigga / Manus Dei</t>
  </si>
  <si>
    <t>GRADE&gt;</t>
  </si>
  <si>
    <t>VG ungraded***</t>
  </si>
  <si>
    <t>Theme: Epfig Hoard</t>
  </si>
  <si>
    <t>NOTES</t>
  </si>
  <si>
    <t>NCG Certified Slabs | Educational Coin Company</t>
  </si>
  <si>
    <t>new</t>
  </si>
  <si>
    <t>Theme- Late Empire: the Dominate</t>
  </si>
  <si>
    <t>REVERSE</t>
  </si>
  <si>
    <t>SIZE / DENOM</t>
  </si>
  <si>
    <t>https://www.educationalcoin.com/product-category/ancient-historical/ngc-certified-slabs/?_ruler_for_landing_page=aelia-flacilla</t>
  </si>
  <si>
    <t>Aelia Flacilla</t>
  </si>
  <si>
    <t>centenionalis</t>
  </si>
  <si>
    <t>AE2</t>
  </si>
  <si>
    <t>https://www.educationalcoin.com/product-category/ancient-historical/ngc-certified-slabs/?_ruler_for_landing_page=aelia-eudoxia</t>
  </si>
  <si>
    <t>Aelia Eudoxia</t>
  </si>
  <si>
    <t>https://www.educationalcoin.com/product-category/ancient-historical/ngc-certified-slabs/?_ruler_for_landing_page=arcadius</t>
  </si>
  <si>
    <t>Arcadius</t>
  </si>
  <si>
    <t>https://www.educationalcoin.com/product-category/ancient-historical/ngc-certified-slabs/?_ruler_for_landing_page=diocletian</t>
  </si>
  <si>
    <t>Diocletian</t>
  </si>
  <si>
    <t>aka follis</t>
  </si>
  <si>
    <t>ANT</t>
  </si>
  <si>
    <t>https://www.educationalcoin.com/product-category/ancient-historical/ngc-certified-slabs/?_ruler_for_landing_page=galerius</t>
  </si>
  <si>
    <t>Galerius</t>
  </si>
  <si>
    <t>scarcer type</t>
  </si>
  <si>
    <t>https://www.educationalcoin.com/product-category/ancient-historical/ngc-certified-slabs/?_ruler_for_landing_page=gratian</t>
  </si>
  <si>
    <t>Gratian</t>
  </si>
  <si>
    <t>https://www.educationalcoin.com/product-category/ancient-historical/ngc-certified-slabs/?_ruler_for_landing_page=honorius</t>
  </si>
  <si>
    <t>Honorius</t>
  </si>
  <si>
    <t>Magnus Maximus</t>
  </si>
  <si>
    <t>1 VG+ @45</t>
  </si>
  <si>
    <t>https://www.educationalcoin.com/product-category/ancient-historical/ngc-certified-slabs/?_ruler_for_landing_page=maxentius</t>
  </si>
  <si>
    <t>Maxentius</t>
  </si>
  <si>
    <t>rival of Const.</t>
  </si>
  <si>
    <t>https://www.educationalcoin.com/product-category/ancient-historical/ngc-certified-slabs/?_ruler_for_landing_page=maximian</t>
  </si>
  <si>
    <t>Maximian</t>
  </si>
  <si>
    <t>https://www.educationalcoin.com/product-category/ancient-historical/ngc-certified-slabs/?_ruler_for_landing_page=maximinus-ii</t>
  </si>
  <si>
    <t>Maximinus II</t>
  </si>
  <si>
    <t>AE1/2</t>
  </si>
  <si>
    <t>https://www.educationalcoin.com/product-category/ancient-historical/ngc-certified-slabs/?_ruler_for_landing_page=severus-ii</t>
  </si>
  <si>
    <t>Severus II</t>
  </si>
  <si>
    <t>https://www.educationalcoin.com/product-category/ancient-historical/ngc-certified-slabs/?_ruler_for_landing_page=8b8b4cbfb72ec942caa28ef5998cb929</t>
  </si>
  <si>
    <t>Theodosius I</t>
  </si>
  <si>
    <t>https://www.educationalcoin.com/product-category/ancient-historical/ngc-certified-slabs/?_ruler_for_landing_page=theodosius-ii</t>
  </si>
  <si>
    <t>Theodosius II</t>
  </si>
  <si>
    <t>https://www.educationalcoin.com/product-category/ancient-historical/ngc-certified-slabs/?_ruler_for_landing_page=valens</t>
  </si>
  <si>
    <t>Valens</t>
  </si>
  <si>
    <t>https://www.educationalcoin.com/product-category/ancient-historical/ngc-certified-slabs/?_ruler_for_landing_page=valentinian-i</t>
  </si>
  <si>
    <t>Valentinian I</t>
  </si>
  <si>
    <t>https://www.educationalcoin.com/product-category/ancient-historical/ngc-certified-slabs/?_ruler_for_landing_page=valentinian-ii</t>
  </si>
  <si>
    <t>Valentinian II</t>
  </si>
  <si>
    <t>NEW</t>
  </si>
  <si>
    <t>Valentinian III</t>
  </si>
  <si>
    <t>Marcian</t>
  </si>
  <si>
    <t>1 good @ $29, 2 VG</t>
  </si>
  <si>
    <t>https://www.educationalcoin.com/product-category/ancient-historical/ngc-certified-slabs/?_ruler_for_landing_page=leo-i</t>
  </si>
  <si>
    <t>Leo I</t>
  </si>
  <si>
    <t>1 good  @ $29, 1 VG graded</t>
  </si>
  <si>
    <t>Zeno</t>
  </si>
  <si>
    <t>2 AG good  @ $29</t>
  </si>
  <si>
    <t>Anastasius (Roman Imperial)</t>
  </si>
  <si>
    <t>1  AG good  @ $29</t>
  </si>
  <si>
    <t>Theme: South Petherton hoard</t>
  </si>
  <si>
    <t>https://www.educationalcoin.com/product-category/ancient-historical/ngc-certified-slabs/?_subcategory=south-petherton</t>
  </si>
  <si>
    <t xml:space="preserve">Aurelian </t>
  </si>
  <si>
    <t>NGC Certified Slabs - Educational Coins</t>
  </si>
  <si>
    <t>Gallienus</t>
  </si>
  <si>
    <t>Billon-ant</t>
  </si>
  <si>
    <t>Quintillus</t>
  </si>
  <si>
    <t>Postumus</t>
  </si>
  <si>
    <t>Theme: London Mint Issues</t>
  </si>
  <si>
    <t>https://www.educationalcoin.com/product-category/ancient-historical/ngc-certified-slabs/?_subcategory=london-mint</t>
  </si>
  <si>
    <t>Constantine II</t>
  </si>
  <si>
    <t>Constantine I, the great</t>
  </si>
  <si>
    <t>Theme: Age of Chaos</t>
  </si>
  <si>
    <t>https://www.educationalcoin.com/product-category/ancient-historical/ngc-certified-slabs/?_ruler_for_landing_page=aurelian</t>
  </si>
  <si>
    <t>Aurelian</t>
  </si>
  <si>
    <t>https://www.educationalcoin.com/product-category/ancient-historical/ngc-certified-slabs/?_ruler_for_landing_page=carinus</t>
  </si>
  <si>
    <t>Carinus</t>
  </si>
  <si>
    <t>son of Carus</t>
  </si>
  <si>
    <t>https://www.educationalcoin.com/product-category/ancient-historical/ngc-certified-slabs/?_ruler_for_landing_page=carus</t>
  </si>
  <si>
    <t>Carus</t>
  </si>
  <si>
    <t xml:space="preserve">   </t>
  </si>
  <si>
    <t>https://www.educationalcoin.com/product-category/ancient-historical/ngc-certified-slabs/?_ruler_for_landing_page=claudius-ii</t>
  </si>
  <si>
    <t>Claudius II</t>
  </si>
  <si>
    <t>https://www.educationalcoin.com/product-category/ancient-historical/ngc-certified-slabs/?_ruler_for_landing_page=florian</t>
  </si>
  <si>
    <t>Florian</t>
  </si>
  <si>
    <t>emperor for 2 months-rarity</t>
  </si>
  <si>
    <t>https://www.educationalcoin.com/product-category/ancient-historical/ngc-certified-slabs/?_ruler_for_landing_page=galeria-valeria</t>
  </si>
  <si>
    <t>Galeria Valeria  + 1 Good @$19</t>
  </si>
  <si>
    <t>Wife of Aurelian</t>
  </si>
  <si>
    <t>AE 1/2</t>
  </si>
  <si>
    <t>https://www.educationalcoin.com/product-category/ancient-historical/ngc-certified-slabs/?_ruler_for_landing_page=gallienus</t>
  </si>
  <si>
    <t>Gordian III</t>
  </si>
  <si>
    <t>Bithynia, Nicaea (Colonial)</t>
  </si>
  <si>
    <t>AE18</t>
  </si>
  <si>
    <t>n/a</t>
  </si>
  <si>
    <t>https://www.educationalcoin.com/product-category/ancient-historical/ngc-certified-slabs/?_ruler_for_landing_page=numerian</t>
  </si>
  <si>
    <t>Numerian</t>
  </si>
  <si>
    <t>https://www.educationalcoin.com/product-category/ancient-historical/ngc-certified-slabs/?_ruler_for_landing_page=postumus</t>
  </si>
  <si>
    <t>Gallic Empire</t>
  </si>
  <si>
    <t>https://www.educationalcoin.com/product-category/ancient-historical/ngc-certified-slabs/?_ruler_for_landing_page=probus</t>
  </si>
  <si>
    <t>Probus</t>
  </si>
  <si>
    <t>https://www.educationalcoin.com/product-category/ancient-historical/ngc-certified-slabs/?_ruler_for_landing_page=quintillus</t>
  </si>
  <si>
    <t>3x Fine /NG</t>
  </si>
  <si>
    <t>https://www.educationalcoin.com/product-category/ancient-historical/ngc-certified-slabs/?_ruler_for_landing_page=salonina</t>
  </si>
  <si>
    <t>Salonina</t>
  </si>
  <si>
    <t>wife of Gallienus</t>
  </si>
  <si>
    <t>https://www.educationalcoin.com/product-category/ancient-historical/ngc-certified-slabs/?_ruler_for_landing_page=severina</t>
  </si>
  <si>
    <t>Severina</t>
  </si>
  <si>
    <t>wife of Aurelian</t>
  </si>
  <si>
    <t>Severus Alexander</t>
  </si>
  <si>
    <t>AE20</t>
  </si>
  <si>
    <t>https://www.educationalcoin.com/product-category/ancient-historical/ngc-certified-slabs/?_ruler_for_landing_page=tacitus</t>
  </si>
  <si>
    <t>Tacitus</t>
  </si>
  <si>
    <t>https://www.educationalcoin.com/product-category/ancient-historical/ngc-certified-slabs/?_ruler_for_landing_page=tetricus-i</t>
  </si>
  <si>
    <t>Tetricus I</t>
  </si>
  <si>
    <t>Gallic Emp.</t>
  </si>
  <si>
    <t xml:space="preserve">  </t>
  </si>
  <si>
    <t>https://www.educationalcoin.com/product-category/ancient-historical/ngc-certified-slabs/?_ruler_for_landing_page=tetricus-ii</t>
  </si>
  <si>
    <t>Tetricus II</t>
  </si>
  <si>
    <t>https://www.educationalcoin.com/product-category/ancient-historical/ngc-certified-slabs/?_ruler_for_landing_page=valerian-i</t>
  </si>
  <si>
    <t xml:space="preserve">Valerian I </t>
  </si>
  <si>
    <t>AE ANT</t>
  </si>
  <si>
    <t>https://www.educationalcoin.com/product-category/ancient-historical/ngc-certified-slabs/?_ruler_for_landing_page=victorinus</t>
  </si>
  <si>
    <t>Victorinus</t>
  </si>
  <si>
    <t>Theme- Roman Uusurpers</t>
  </si>
  <si>
    <t>https://www.educationalcoin.com/product-category/ancient-historical/ngc-certified-slabs/?_ruler_for_landing_page=aureolus</t>
  </si>
  <si>
    <t>Aureolus includes 3 vg</t>
  </si>
  <si>
    <t>in name of Postumus</t>
  </si>
  <si>
    <t>BI ANT</t>
  </si>
  <si>
    <t>https://www.educationalcoin.com/product-category/ancient-historical/ngc-certified-slabs/?_ruler_for_landing_page=Vabalathus</t>
  </si>
  <si>
    <t>Vabalathus</t>
  </si>
  <si>
    <t>w/ Aurelian- dual portraits</t>
  </si>
  <si>
    <t>Magnentius</t>
  </si>
  <si>
    <t>against Constantius II, VG x 1</t>
  </si>
  <si>
    <t>https://www.educationalcoin.com/product-category/ancient-historical/ngc-certified-slabs/?_ruler_for_landing_page=decentius</t>
  </si>
  <si>
    <t>Decentius</t>
  </si>
  <si>
    <t>son of Magnentius</t>
  </si>
  <si>
    <t xml:space="preserve">Vetranio </t>
  </si>
  <si>
    <t>in his name</t>
  </si>
  <si>
    <t>https://www.educationalcoin.com/product-category/ancient-historical/ngc-certified-slabs/?_ruler_for_landing_page=Vetranio</t>
  </si>
  <si>
    <t xml:space="preserve">Vetranio  </t>
  </si>
  <si>
    <t xml:space="preserve">in name of Constantius  II </t>
  </si>
  <si>
    <t>https://www.educationalcoin.com/product-category/ancient-historical/ngc-certified-slabs/?_ruler_for_landing_page=procopius</t>
  </si>
  <si>
    <t>Procopius</t>
  </si>
  <si>
    <t>against Valens</t>
  </si>
  <si>
    <t>Carausius</t>
  </si>
  <si>
    <t>1 VG</t>
  </si>
  <si>
    <t>Theme: Roman Silver</t>
  </si>
  <si>
    <t>Vespasian</t>
  </si>
  <si>
    <t>***these VG are graded</t>
  </si>
  <si>
    <t>Denarius</t>
  </si>
  <si>
    <t>Domitian</t>
  </si>
  <si>
    <t>Drachm</t>
  </si>
  <si>
    <t>Trajan</t>
  </si>
  <si>
    <t>Imperial issue</t>
  </si>
  <si>
    <t>Arabia Provincial issue</t>
  </si>
  <si>
    <t>Hadrian</t>
  </si>
  <si>
    <t>https://www.educationalcoin.com/product-category/ancient-historical/ngc-certified-slabs/?_ruler_for_landing_page=sabina</t>
  </si>
  <si>
    <t>Sabina</t>
  </si>
  <si>
    <t>https://www.educationalcoin.com/product-category/ancient-historical/ngc-certified-slabs/?_ruler_for_landing_page=antonius-pius</t>
  </si>
  <si>
    <t>Antoninus Pius</t>
  </si>
  <si>
    <t>https://www.educationalcoin.com/product-category/ancient-historical/ngc-certified-slabs/?_ruler_for_landing_page=faustina-sr</t>
  </si>
  <si>
    <t>Faustina Sr.</t>
  </si>
  <si>
    <t>Lucius Verus</t>
  </si>
  <si>
    <t>https://www.educationalcoin.com/product-category/ancient-historical/ngc-certified-slabs/?_ruler_for_landing_page=lucilla</t>
  </si>
  <si>
    <t>Lucilla</t>
  </si>
  <si>
    <t>Marcus Aurelius</t>
  </si>
  <si>
    <t>https://www.educationalcoin.com/product-category/ancient-historical/ngc-certified-slabs/?_ruler_for_landing_page=faustina-jr</t>
  </si>
  <si>
    <t>Faustina Jr.</t>
  </si>
  <si>
    <t>https://www.educationalcoin.com/product-category/ancient-historical/ngc-certified-slabs/?_ruler_for_landing_page=commodus</t>
  </si>
  <si>
    <t>Commodus</t>
  </si>
  <si>
    <t>https://www.educationalcoin.com/product-category/ancient-historical/ngc-certified-slabs/?_ruler_for_landing_page=crispina</t>
  </si>
  <si>
    <t>Crispina</t>
  </si>
  <si>
    <t>https://www.educationalcoin.com/product-category/ancient-historical/ngc-certified-slabs/?_ruler_for_landing_page=septimius-severus</t>
  </si>
  <si>
    <t>Septimius Severus</t>
  </si>
  <si>
    <t>https://www.educationalcoin.com/product-category/ancient-historical/ngc-certified-slabs/?_ruler_for_landing_page=julia-domna</t>
  </si>
  <si>
    <t>Julia Domna</t>
  </si>
  <si>
    <t>https://www.educationalcoin.com/product-category/ancient-historical/ngc-certified-slabs/?_ruler_for_landing_page=julia-maesa</t>
  </si>
  <si>
    <t>Julia Maesa</t>
  </si>
  <si>
    <t>https://www.educationalcoin.com/product-category/ancient-historical/ngc-certified-slabs/?_ruler_for_landing_page=caracalla</t>
  </si>
  <si>
    <t>Caracalla</t>
  </si>
  <si>
    <t>https://www.educationalcoin.com/product-category/ancient-historical/ngc-certified-slabs/?_ruler_for_landing_page=geta</t>
  </si>
  <si>
    <t>Geta</t>
  </si>
  <si>
    <t>https://www.educationalcoin.com/product-category/ancient-historical/ngc-certified-slabs/?_ruler_for_landing_page=plautilla</t>
  </si>
  <si>
    <t>Plautilla</t>
  </si>
  <si>
    <t>https://www.educationalcoin.com/product-category/ancient-historical/ngc-certified-slabs/?_ruler_for_landing_page=elagabalus</t>
  </si>
  <si>
    <t>Elagabalus</t>
  </si>
  <si>
    <t>https://www.educationalcoin.com/product-category/ancient-historical/ngc-certified-slabs/?_ruler_for_landing_page=julia-paula</t>
  </si>
  <si>
    <t>Julia Paula</t>
  </si>
  <si>
    <t>https://www.educationalcoin.com/product-category/ancient-historical/ngc-certified-slabs/?_ruler_for_landing_page=julia-soaemias</t>
  </si>
  <si>
    <t>Julia Soaemias</t>
  </si>
  <si>
    <t>Julia Mamaea</t>
  </si>
  <si>
    <t>https://www.educationalcoin.com/product-category/ancient-historical/ngc-certified-slabs/?_ruler_for_landing_page=severus-alexander</t>
  </si>
  <si>
    <t>https://www.educationalcoin.com/product-category/ancient-historical/ngc-certified-slabs/?_ruler_for_landing_page=gordian-iii</t>
  </si>
  <si>
    <t>https://www.educationalcoin.com/product-category/ancient-historical/ngc-certified-slabs/?_ruler_for_landing_page=maximinus-i</t>
  </si>
  <si>
    <t>Maximinus I</t>
  </si>
  <si>
    <t>https://www.educationalcoin.com/product-category/ancient-historical/ngc-certified-slabs/?_ruler_for_landing_page=philip-i</t>
  </si>
  <si>
    <t>Philip I</t>
  </si>
  <si>
    <t>https://www.educationalcoin.com/product-category/ancient-historical/ngc-certified-slabs/?_ruler_for_landing_page=otacilia-severa</t>
  </si>
  <si>
    <t>Otacilia Severa</t>
  </si>
  <si>
    <t>https://www.educationalcoin.com/product-category/ancient-historical/ngc-certified-slabs/?_ruler_for_landing_page=philip-ii</t>
  </si>
  <si>
    <t>Philip II</t>
  </si>
  <si>
    <t>https://www.educationalcoin.com/product-category/ancient-historical/ngc-certified-slabs/?_ruler_for_landing_page=trajan-decius</t>
  </si>
  <si>
    <t>Trajan Decius</t>
  </si>
  <si>
    <t>Herennia Etruscilla</t>
  </si>
  <si>
    <t xml:space="preserve">Herennius Etruscus </t>
  </si>
  <si>
    <t>https://www.educationalcoin.com/product-category/ancient-historical/ngc-certified-slabs/?_ruler_for_landing_page=trebonianus-gallus</t>
  </si>
  <si>
    <t>Trebonianus Gallus</t>
  </si>
  <si>
    <t>https://www.educationalcoin.com/product-category/ancient-historical/ngc-certified-slabs/?_ruler_for_landing_page=volusian</t>
  </si>
  <si>
    <t>Volusian</t>
  </si>
  <si>
    <t>Valerian I</t>
  </si>
  <si>
    <t>Ag ANT</t>
  </si>
  <si>
    <t>https://www.educationalcoin.com/product-category/ancient-historical/ngc-certified-slabs/?_ruler_for_landing_page=valerian-ii</t>
  </si>
  <si>
    <t>Valerian II</t>
  </si>
  <si>
    <t>Son of Valerian I  + 2 fine AE @39, 2 VG, 1 LG AE</t>
  </si>
  <si>
    <t>https://www.educationalcoin.com/product-category/ancient-historical/ngc-certified-slabs/?_ruler_for_landing_page=saloninus</t>
  </si>
  <si>
    <t>Saloninus</t>
  </si>
  <si>
    <t>Son of Valerian I, 1 VG</t>
  </si>
  <si>
    <t>Clod. Albinus</t>
  </si>
  <si>
    <t>Tried to ursurp Caracalla, 1 VG @95</t>
  </si>
  <si>
    <t>WEB LINK</t>
  </si>
  <si>
    <t>Item</t>
  </si>
  <si>
    <t>Notes</t>
  </si>
  <si>
    <t xml:space="preserve"> LG</t>
  </si>
  <si>
    <t xml:space="preserve"> MG</t>
  </si>
  <si>
    <t>HG</t>
  </si>
  <si>
    <t>PG</t>
  </si>
  <si>
    <t>SG</t>
  </si>
  <si>
    <t>GREECE</t>
  </si>
  <si>
    <t>Qty</t>
  </si>
  <si>
    <t>price</t>
  </si>
  <si>
    <t>Mithradates</t>
  </si>
  <si>
    <t xml:space="preserve"> Pontic kingdom</t>
  </si>
  <si>
    <t>Mysia, 1st-2nd centuries BCE, Pergamum region.(NG) - Educational Coins</t>
  </si>
  <si>
    <t>Mysia/Pergamum</t>
  </si>
  <si>
    <t>Miletus, Ionia</t>
  </si>
  <si>
    <t>also spelled Miletos</t>
  </si>
  <si>
    <t>JUDEA</t>
  </si>
  <si>
    <t>Agrippa I (Herod Agrippa)</t>
  </si>
  <si>
    <t>Umbrella/ 3 ears barley</t>
  </si>
  <si>
    <t>https://www.educationalcoin.com/product-category/ancient-historical/ngc-certified-slabs/?_ruler_for_landing_page=herod-the-great</t>
  </si>
  <si>
    <t>Herod I (the Great)</t>
  </si>
  <si>
    <t>Anchor/double cornucopia</t>
  </si>
  <si>
    <t>Pontius Pilate</t>
  </si>
  <si>
    <t>ears of barley/littus OR inscription/wreath with date</t>
  </si>
  <si>
    <t>Maccabean (CV)</t>
  </si>
  <si>
    <t>double cornucopia/hebrew inscription</t>
  </si>
  <si>
    <t>Maccabean (JV)</t>
  </si>
  <si>
    <t>VGRATUS-NGC (educationalcoin.com)</t>
  </si>
  <si>
    <t>Valerius Gratus</t>
  </si>
  <si>
    <t>Roman Prefect of Judaea Under Tiberius</t>
  </si>
  <si>
    <t>https://www.educationalcoin.com/product-category/ancient-historical/ngc-certified-slabs/?_ruler_for_landing_page=antonius-felix</t>
  </si>
  <si>
    <t>Antonius Felix</t>
  </si>
  <si>
    <t>Roman Prefect of Judaea Under Claudius</t>
  </si>
  <si>
    <t>https://www.educationalcoin.com/product-category/ancient-historical/ngc-certified-slabs/?_ruler_for_landing_page=herod-archelaus</t>
  </si>
  <si>
    <t>Herod Archelaus</t>
  </si>
  <si>
    <t>Son of Herod I</t>
  </si>
  <si>
    <t>https://www.educationalcoin.com/product-category/ancient-historical/ngc-certified-slabs/?_ruler_for_landing_page=porcius-festus</t>
  </si>
  <si>
    <t>Porcius Festus</t>
  </si>
  <si>
    <t>https://www.educationalcoin.com/product/mattathias-antigonus-the-last-king-of-judaeac/</t>
  </si>
  <si>
    <t>Mattathias Antigonus</t>
  </si>
  <si>
    <t>WIDOW'S MITES</t>
  </si>
  <si>
    <t>Promo grade</t>
  </si>
  <si>
    <t>Average</t>
  </si>
  <si>
    <t>Excellent</t>
  </si>
  <si>
    <t xml:space="preserve">Premium </t>
  </si>
  <si>
    <t>Widow's Mites</t>
  </si>
  <si>
    <t>anchor/star</t>
  </si>
  <si>
    <t>XF</t>
  </si>
  <si>
    <t>AU</t>
  </si>
  <si>
    <t>OTHER ANCIENT</t>
  </si>
  <si>
    <t>Price</t>
  </si>
  <si>
    <t>Tetrarchy: Galerius &amp; Constantius</t>
  </si>
  <si>
    <t>VF ungraded</t>
  </si>
  <si>
    <t>Tetrarchy: Diocletian &amp; Maximian</t>
  </si>
  <si>
    <t>Nero, Alexandria tet</t>
  </si>
  <si>
    <t>Soter Mega NGC Certified Slab(NG) - Educational Coins</t>
  </si>
  <si>
    <t>Soter Megas, Kushan kingdom</t>
  </si>
  <si>
    <t>Menander</t>
  </si>
  <si>
    <t>Indo-Greek king, 165-130 BCE</t>
  </si>
  <si>
    <t>Hermaeus</t>
  </si>
  <si>
    <t>Indo-Greek king, 90s to 70s or 80s BCE</t>
  </si>
  <si>
    <t>Indo-Greek kings</t>
  </si>
  <si>
    <t>various</t>
  </si>
  <si>
    <t>Needs Price</t>
  </si>
  <si>
    <t>Kings of Elam Drachm in NGC Slab (Book of Genesis Coin) - Educational Coins</t>
  </si>
  <si>
    <t>Elymais</t>
  </si>
  <si>
    <t>Celtic tribes in ancient Gaul, Quinarius NGC Slab(LG) - Educational Coins</t>
  </si>
  <si>
    <t>Celtic Gaul Quinarius</t>
  </si>
  <si>
    <t>c. 60-50 BCE, early Roman rule</t>
  </si>
  <si>
    <t>Persis Hemidrachm NGC Slab(NG) - Educational Coins</t>
  </si>
  <si>
    <t>Persis</t>
  </si>
  <si>
    <t>1st century BCE Iran</t>
  </si>
  <si>
    <t>First Persian Empire (NGC Slab)(NG) - Educational Coins</t>
  </si>
  <si>
    <t>Persia Siglos</t>
  </si>
  <si>
    <t>Azes II</t>
  </si>
  <si>
    <t>MEDEIVAL</t>
  </si>
  <si>
    <t>Link</t>
  </si>
  <si>
    <t>https://www.educationalcoin.com/crusades-levon-the-magnificent-king-of-armenia-ngc.html</t>
  </si>
  <si>
    <t>Levon, Armenia Tram</t>
  </si>
  <si>
    <t>crusades coin</t>
  </si>
  <si>
    <t>CRU-BOHEMOND-NGC (educationalcoin.com)</t>
  </si>
  <si>
    <t>Bohemond III, crusader</t>
  </si>
  <si>
    <t>CRU-HUGH-NGC (educationalcoin.com)</t>
  </si>
  <si>
    <t>Hugh IX/X, crusader &amp; son</t>
  </si>
  <si>
    <t>https://www.educationalcoin.com/contstans-ii-byzantine-ngc-certified-slab.html</t>
  </si>
  <si>
    <t>Byz. Constans II</t>
  </si>
  <si>
    <t>needs web link</t>
  </si>
  <si>
    <t>Doukid Byz. Christ folles</t>
  </si>
  <si>
    <t>Doukid ruling family</t>
  </si>
  <si>
    <t>https://www.educationalcoin.com/-122546.html</t>
  </si>
  <si>
    <t>Byz. Christ folles</t>
  </si>
  <si>
    <t>reverse legend "Jesus Christ King of Kings"</t>
  </si>
  <si>
    <t>https://www.educationalcoin.com/revenge-of-the-blind-king-ngc-slab-24632.html</t>
  </si>
  <si>
    <t>Bela II, Revenge of the Blind King</t>
  </si>
  <si>
    <t>https://www.educationalcoin.com/khusru-ii-the-true-cross-ngc-slab.html</t>
  </si>
  <si>
    <t>Khursu II, True Cross</t>
  </si>
  <si>
    <t>Austria "Hand" Heller</t>
  </si>
  <si>
    <t>https://www.educationalcoin.com/madonna-and-child-medieval-silver-coin-ngc.html</t>
  </si>
  <si>
    <t>Hungary Madonna &amp; Child Denar</t>
  </si>
  <si>
    <t>https://www.educationalcoin.com/hunnic-coinage-of-nezak-ngc-certified-slab.html</t>
  </si>
  <si>
    <t>Nezak Huns</t>
  </si>
  <si>
    <t xml:space="preserve">Kabul region 500s AD. </t>
  </si>
  <si>
    <t>MISC.</t>
  </si>
  <si>
    <t>https://www.educationalcoin.com/catalogsearch/result/?q=CATHERINE%28AE%29NGC</t>
  </si>
  <si>
    <t>Catherine the Great</t>
  </si>
  <si>
    <t>Romanov eagle, St George +dragon</t>
  </si>
  <si>
    <t>Catherine the Great 1776</t>
  </si>
  <si>
    <t>Elizabeth of Russia</t>
  </si>
  <si>
    <t>Queen Elizabeth II</t>
  </si>
  <si>
    <t>https://www.educationalcoin.com/mythical-hamsa-bird-ngc-slab.html</t>
  </si>
  <si>
    <t>Hamsa Bird, Cambodia</t>
  </si>
  <si>
    <t>https://www.educationalcoin.com/catalogsearch/result/?q=leopold+hogmouth</t>
  </si>
  <si>
    <t>Leo Hogmouth</t>
  </si>
  <si>
    <t>https://www.educationalcoin.com/catalogsearch/result/?q=eindkm320</t>
  </si>
  <si>
    <t>Admiral Gardner</t>
  </si>
  <si>
    <t>1808 shipwreck</t>
  </si>
  <si>
    <t>Republic of Venice Silver Grosso(NG) - Educational Coins</t>
  </si>
  <si>
    <t>Venice Grosso</t>
  </si>
  <si>
    <t>ANCIENT GRADED</t>
  </si>
  <si>
    <t>ITEM</t>
  </si>
  <si>
    <t xml:space="preserve">NOTES </t>
  </si>
  <si>
    <t>VG ungraded*Mixed sizes*</t>
  </si>
  <si>
    <t>F</t>
  </si>
  <si>
    <t>CH-F</t>
  </si>
  <si>
    <t>VF</t>
  </si>
  <si>
    <t>CH-VF</t>
  </si>
  <si>
    <t>CH-XF</t>
  </si>
  <si>
    <t>https://www.educationalcoin.com/catalogsearch/result/?q=alexander+the+great+tetradrachm</t>
  </si>
  <si>
    <t>Alexander the Great Tetradrachm</t>
  </si>
  <si>
    <t>1 Ch-F "innovative issue"</t>
  </si>
  <si>
    <t>https://www.educationalcoin.com/ancient-greek-macedonian-empire-alexander-the-great-336-323-bce-ngc-certified-slab-24970.html</t>
  </si>
  <si>
    <t>Alexander the Great Drachm</t>
  </si>
  <si>
    <t>Search results for: 'arabia felix' (educationalcoin.com)</t>
  </si>
  <si>
    <t>Arabia Felix, Himyarites</t>
  </si>
  <si>
    <t>1st century AD Yemen</t>
  </si>
  <si>
    <t>https://www.educationalcoin.com/catalogsearch/result/?q=phillip+III+tetradrachm</t>
  </si>
  <si>
    <t>Phillip III Tetradrachm</t>
  </si>
  <si>
    <t>brother of Alexander</t>
  </si>
  <si>
    <t>https://www.educationalcoin.com/catalogsearch/result/?q=phillip+III+drachm</t>
  </si>
  <si>
    <t>Phillip III drachm</t>
  </si>
  <si>
    <t>https://www.educationalcoin.com/catalogsearch/result/?q=tabaristan</t>
  </si>
  <si>
    <t>Tabaristan</t>
  </si>
  <si>
    <t>Zoroastrian Dabuyid, AD 780-793</t>
  </si>
  <si>
    <t xml:space="preserve">Seleucid </t>
  </si>
  <si>
    <t>Style of Alexander</t>
  </si>
  <si>
    <t>Trier Johan of Germany</t>
  </si>
  <si>
    <t xml:space="preserve">4 Pence </t>
  </si>
  <si>
    <t>Trier Karl of Germany</t>
  </si>
  <si>
    <t>4 Pence</t>
  </si>
  <si>
    <t>EIND 1/4 ANNA 1858</t>
  </si>
  <si>
    <t>MS 63</t>
  </si>
  <si>
    <t>MS 64</t>
  </si>
  <si>
    <t>MS 66</t>
  </si>
  <si>
    <t>East India Co. 1/4 anna 1858</t>
  </si>
  <si>
    <t>coat of arms/mughal inscription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</si>
</sst>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#,##0;\(#,##0\);&quot;&quot;"/>
    <numFmt numFmtId="167" formatCode="&quot;$&quot;#,##0.00_);\(&quot;$&quot;#,##0.00\);&quot;&quot;"/>
    <numFmt numFmtId="168" formatCode="&quot;$&quot;#,##0_);\(&quot;$&quot;#,##0\);&quot;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9"/>
      <color theme="10"/>
      <name val="Calibri"/>
      <family val="2"/>
    </font>
    <font>
      <u/>
      <sz val="12"/>
      <color theme="10"/>
      <name val="Calibri"/>
      <family val="2"/>
    </font>
    <font>
      <b/>
      <sz val="12"/>
      <color rgb="FFFF0000"/>
      <name val="Calibri"/>
      <family val="2"/>
    </font>
    <font>
      <sz val="12"/>
      <color theme="0" tint="-0.1499984740745262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CC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2"/>
      <color rgb="FFFF0000"/>
      <name val="Calibri"/>
      <family val="2"/>
    </font>
    <font>
      <u/>
      <sz val="12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48118533890809E-2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indexed="64"/>
      </right>
      <top style="thin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62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0" applyNumberFormat="1" applyFont="1"/>
    <xf numFmtId="0" fontId="6" fillId="0" borderId="0" xfId="0" applyFont="1" applyAlignment="1">
      <alignment vertical="center" wrapText="1"/>
    </xf>
    <xf numFmtId="0" fontId="6" fillId="0" borderId="0" xfId="0" applyFont="1"/>
    <xf numFmtId="0" fontId="5" fillId="0" borderId="1" xfId="0" applyFont="1" applyBorder="1" applyAlignment="1">
      <alignment vertical="center" wrapText="1"/>
    </xf>
    <xf numFmtId="0" fontId="4" fillId="0" borderId="0" xfId="0" applyFont="1"/>
    <xf numFmtId="0" fontId="5" fillId="0" borderId="2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vertical="center" wrapText="1"/>
    </xf>
    <xf numFmtId="0" fontId="5" fillId="0" borderId="4" xfId="0" applyFont="1" applyBorder="1"/>
    <xf numFmtId="0" fontId="7" fillId="0" borderId="5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6" xfId="0" applyFont="1" applyBorder="1" applyAlignment="1">
      <alignment wrapText="1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5" fillId="0" borderId="8" xfId="0" applyFont="1" applyBorder="1"/>
    <xf numFmtId="0" fontId="6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165" fontId="8" fillId="0" borderId="20" xfId="0" applyNumberFormat="1" applyFont="1" applyBorder="1" applyAlignment="1">
      <alignment horizontal="right"/>
    </xf>
    <xf numFmtId="0" fontId="8" fillId="2" borderId="21" xfId="0" applyFont="1" applyFill="1" applyBorder="1" applyAlignment="1">
      <alignment horizontal="center"/>
    </xf>
    <xf numFmtId="165" fontId="8" fillId="0" borderId="22" xfId="0" applyNumberFormat="1" applyFont="1" applyBorder="1" applyAlignment="1">
      <alignment horizontal="right"/>
    </xf>
    <xf numFmtId="0" fontId="8" fillId="2" borderId="23" xfId="0" applyFont="1" applyFill="1" applyBorder="1" applyAlignment="1">
      <alignment horizontal="center"/>
    </xf>
    <xf numFmtId="165" fontId="8" fillId="0" borderId="24" xfId="0" applyNumberFormat="1" applyFont="1" applyBorder="1"/>
    <xf numFmtId="165" fontId="8" fillId="0" borderId="24" xfId="0" applyNumberFormat="1" applyFont="1" applyBorder="1" applyAlignment="1">
      <alignment horizontal="right"/>
    </xf>
    <xf numFmtId="165" fontId="8" fillId="0" borderId="24" xfId="0" applyNumberFormat="1" applyFont="1" applyBorder="1" applyAlignment="1">
      <alignment horizontal="center"/>
    </xf>
    <xf numFmtId="0" fontId="9" fillId="0" borderId="0" xfId="0" applyFont="1"/>
    <xf numFmtId="0" fontId="3" fillId="3" borderId="14" xfId="2" applyFill="1" applyBorder="1" applyAlignment="1" applyProtection="1">
      <alignment vertical="center" wrapText="1"/>
    </xf>
    <xf numFmtId="0" fontId="6" fillId="3" borderId="15" xfId="0" applyFont="1" applyFill="1" applyBorder="1"/>
    <xf numFmtId="0" fontId="6" fillId="3" borderId="16" xfId="0" applyFont="1" applyFill="1" applyBorder="1" applyAlignment="1">
      <alignment wrapText="1"/>
    </xf>
    <xf numFmtId="0" fontId="6" fillId="3" borderId="25" xfId="0" applyFont="1" applyFill="1" applyBorder="1"/>
    <xf numFmtId="0" fontId="10" fillId="3" borderId="15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166" fontId="11" fillId="2" borderId="27" xfId="0" applyNumberFormat="1" applyFont="1" applyFill="1" applyBorder="1" applyAlignment="1">
      <alignment horizontal="center"/>
    </xf>
    <xf numFmtId="167" fontId="6" fillId="4" borderId="15" xfId="0" applyNumberFormat="1" applyFont="1" applyFill="1" applyBorder="1" applyAlignment="1">
      <alignment horizontal="right"/>
    </xf>
    <xf numFmtId="168" fontId="6" fillId="3" borderId="28" xfId="0" applyNumberFormat="1" applyFont="1" applyFill="1" applyBorder="1" applyAlignment="1">
      <alignment horizontal="right"/>
    </xf>
    <xf numFmtId="166" fontId="11" fillId="2" borderId="25" xfId="0" applyNumberFormat="1" applyFont="1" applyFill="1" applyBorder="1" applyAlignment="1">
      <alignment horizontal="center"/>
    </xf>
    <xf numFmtId="168" fontId="6" fillId="4" borderId="15" xfId="0" applyNumberFormat="1" applyFont="1" applyFill="1" applyBorder="1" applyAlignment="1">
      <alignment horizontal="right"/>
    </xf>
    <xf numFmtId="168" fontId="6" fillId="4" borderId="28" xfId="0" applyNumberFormat="1" applyFont="1" applyFill="1" applyBorder="1"/>
    <xf numFmtId="168" fontId="6" fillId="4" borderId="28" xfId="0" applyNumberFormat="1" applyFont="1" applyFill="1" applyBorder="1" applyAlignment="1">
      <alignment horizontal="right"/>
    </xf>
    <xf numFmtId="166" fontId="6" fillId="2" borderId="27" xfId="0" applyNumberFormat="1" applyFont="1" applyFill="1" applyBorder="1" applyAlignment="1">
      <alignment horizontal="center"/>
    </xf>
    <xf numFmtId="165" fontId="6" fillId="4" borderId="28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 wrapText="1"/>
    </xf>
    <xf numFmtId="0" fontId="6" fillId="3" borderId="25" xfId="0" applyFont="1" applyFill="1" applyBorder="1" applyAlignment="1">
      <alignment vertical="center"/>
    </xf>
    <xf numFmtId="0" fontId="10" fillId="4" borderId="1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166" fontId="11" fillId="2" borderId="27" xfId="0" applyNumberFormat="1" applyFont="1" applyFill="1" applyBorder="1" applyAlignment="1">
      <alignment horizontal="center" vertical="center"/>
    </xf>
    <xf numFmtId="168" fontId="6" fillId="3" borderId="28" xfId="0" applyNumberFormat="1" applyFont="1" applyFill="1" applyBorder="1" applyAlignment="1">
      <alignment horizontal="right" vertical="center"/>
    </xf>
    <xf numFmtId="166" fontId="11" fillId="2" borderId="25" xfId="0" applyNumberFormat="1" applyFont="1" applyFill="1" applyBorder="1" applyAlignment="1">
      <alignment horizontal="center" vertical="center"/>
    </xf>
    <xf numFmtId="168" fontId="6" fillId="4" borderId="15" xfId="0" applyNumberFormat="1" applyFont="1" applyFill="1" applyBorder="1" applyAlignment="1">
      <alignment horizontal="right" vertical="center"/>
    </xf>
    <xf numFmtId="168" fontId="6" fillId="4" borderId="28" xfId="0" applyNumberFormat="1" applyFont="1" applyFill="1" applyBorder="1" applyAlignment="1">
      <alignment vertical="center"/>
    </xf>
    <xf numFmtId="168" fontId="6" fillId="4" borderId="28" xfId="0" applyNumberFormat="1" applyFont="1" applyFill="1" applyBorder="1" applyAlignment="1">
      <alignment horizontal="right" vertical="center"/>
    </xf>
    <xf numFmtId="166" fontId="6" fillId="2" borderId="27" xfId="0" applyNumberFormat="1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/>
    </xf>
    <xf numFmtId="167" fontId="6" fillId="4" borderId="15" xfId="0" applyNumberFormat="1" applyFont="1" applyFill="1" applyBorder="1" applyAlignment="1">
      <alignment horizontal="right" vertical="center"/>
    </xf>
    <xf numFmtId="165" fontId="6" fillId="4" borderId="28" xfId="0" applyNumberFormat="1" applyFont="1" applyFill="1" applyBorder="1" applyAlignment="1">
      <alignment horizontal="center" vertical="center"/>
    </xf>
    <xf numFmtId="0" fontId="6" fillId="0" borderId="15" xfId="0" applyFont="1" applyBorder="1"/>
    <xf numFmtId="0" fontId="6" fillId="0" borderId="16" xfId="0" applyFont="1" applyBorder="1" applyAlignment="1">
      <alignment wrapText="1"/>
    </xf>
    <xf numFmtId="0" fontId="6" fillId="0" borderId="25" xfId="0" applyFont="1" applyBorder="1"/>
    <xf numFmtId="0" fontId="6" fillId="0" borderId="1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66" fontId="11" fillId="0" borderId="27" xfId="0" applyNumberFormat="1" applyFont="1" applyBorder="1" applyAlignment="1">
      <alignment horizontal="center"/>
    </xf>
    <xf numFmtId="167" fontId="6" fillId="0" borderId="15" xfId="0" applyNumberFormat="1" applyFont="1" applyBorder="1" applyAlignment="1">
      <alignment horizontal="right"/>
    </xf>
    <xf numFmtId="166" fontId="6" fillId="0" borderId="27" xfId="0" applyNumberFormat="1" applyFont="1" applyBorder="1" applyAlignment="1">
      <alignment horizontal="center"/>
    </xf>
    <xf numFmtId="168" fontId="6" fillId="0" borderId="28" xfId="0" applyNumberFormat="1" applyFont="1" applyBorder="1" applyAlignment="1">
      <alignment horizontal="right"/>
    </xf>
    <xf numFmtId="166" fontId="6" fillId="0" borderId="25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right"/>
    </xf>
    <xf numFmtId="168" fontId="6" fillId="0" borderId="28" xfId="0" applyNumberFormat="1" applyFont="1" applyBorder="1"/>
    <xf numFmtId="166" fontId="6" fillId="0" borderId="29" xfId="0" applyNumberFormat="1" applyFont="1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167" fontId="6" fillId="3" borderId="15" xfId="0" applyNumberFormat="1" applyFont="1" applyFill="1" applyBorder="1" applyAlignment="1">
      <alignment horizontal="right"/>
    </xf>
    <xf numFmtId="168" fontId="6" fillId="3" borderId="15" xfId="0" applyNumberFormat="1" applyFont="1" applyFill="1" applyBorder="1" applyAlignment="1">
      <alignment horizontal="right"/>
    </xf>
    <xf numFmtId="168" fontId="6" fillId="3" borderId="15" xfId="0" applyNumberFormat="1" applyFont="1" applyFill="1" applyBorder="1"/>
    <xf numFmtId="0" fontId="6" fillId="3" borderId="15" xfId="0" applyFont="1" applyFill="1" applyBorder="1" applyAlignment="1">
      <alignment horizontal="center"/>
    </xf>
    <xf numFmtId="0" fontId="3" fillId="5" borderId="1" xfId="2" applyFill="1" applyBorder="1" applyAlignment="1" applyProtection="1">
      <alignment wrapText="1"/>
    </xf>
    <xf numFmtId="0" fontId="6" fillId="0" borderId="15" xfId="0" applyFont="1" applyBorder="1" applyAlignment="1">
      <alignment wrapText="1"/>
    </xf>
    <xf numFmtId="166" fontId="11" fillId="0" borderId="25" xfId="0" applyNumberFormat="1" applyFont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168" fontId="6" fillId="3" borderId="28" xfId="0" applyNumberFormat="1" applyFont="1" applyFill="1" applyBorder="1"/>
    <xf numFmtId="0" fontId="3" fillId="0" borderId="0" xfId="2"/>
    <xf numFmtId="165" fontId="6" fillId="3" borderId="28" xfId="0" applyNumberFormat="1" applyFont="1" applyFill="1" applyBorder="1" applyAlignment="1">
      <alignment horizontal="center"/>
    </xf>
    <xf numFmtId="166" fontId="5" fillId="0" borderId="0" xfId="0" applyNumberFormat="1" applyFont="1"/>
    <xf numFmtId="0" fontId="3" fillId="0" borderId="1" xfId="2" applyBorder="1" applyAlignment="1" applyProtection="1">
      <alignment wrapText="1"/>
    </xf>
    <xf numFmtId="0" fontId="13" fillId="0" borderId="14" xfId="3" applyFont="1" applyFill="1" applyBorder="1" applyAlignment="1" applyProtection="1">
      <alignment vertical="center" wrapText="1"/>
    </xf>
    <xf numFmtId="0" fontId="6" fillId="0" borderId="30" xfId="0" applyFont="1" applyBorder="1" applyAlignment="1">
      <alignment horizontal="center"/>
    </xf>
    <xf numFmtId="168" fontId="6" fillId="0" borderId="15" xfId="0" applyNumberFormat="1" applyFont="1" applyBorder="1"/>
    <xf numFmtId="0" fontId="6" fillId="6" borderId="15" xfId="0" applyFont="1" applyFill="1" applyBorder="1" applyAlignment="1">
      <alignment horizontal="center"/>
    </xf>
    <xf numFmtId="0" fontId="6" fillId="3" borderId="31" xfId="0" applyFont="1" applyFill="1" applyBorder="1"/>
    <xf numFmtId="0" fontId="6" fillId="3" borderId="32" xfId="0" applyFont="1" applyFill="1" applyBorder="1" applyAlignment="1">
      <alignment wrapText="1"/>
    </xf>
    <xf numFmtId="0" fontId="6" fillId="3" borderId="33" xfId="0" applyFont="1" applyFill="1" applyBorder="1"/>
    <xf numFmtId="0" fontId="6" fillId="3" borderId="34" xfId="0" applyFont="1" applyFill="1" applyBorder="1" applyAlignment="1">
      <alignment horizontal="center"/>
    </xf>
    <xf numFmtId="166" fontId="6" fillId="2" borderId="35" xfId="0" applyNumberFormat="1" applyFont="1" applyFill="1" applyBorder="1" applyAlignment="1">
      <alignment horizontal="center"/>
    </xf>
    <xf numFmtId="167" fontId="6" fillId="3" borderId="31" xfId="0" applyNumberFormat="1" applyFont="1" applyFill="1" applyBorder="1" applyAlignment="1">
      <alignment horizontal="right"/>
    </xf>
    <xf numFmtId="166" fontId="11" fillId="2" borderId="35" xfId="0" applyNumberFormat="1" applyFont="1" applyFill="1" applyBorder="1" applyAlignment="1">
      <alignment horizontal="center"/>
    </xf>
    <xf numFmtId="168" fontId="6" fillId="3" borderId="36" xfId="0" applyNumberFormat="1" applyFont="1" applyFill="1" applyBorder="1" applyAlignment="1">
      <alignment horizontal="right"/>
    </xf>
    <xf numFmtId="166" fontId="11" fillId="2" borderId="33" xfId="0" applyNumberFormat="1" applyFont="1" applyFill="1" applyBorder="1" applyAlignment="1">
      <alignment horizontal="center"/>
    </xf>
    <xf numFmtId="168" fontId="6" fillId="3" borderId="31" xfId="0" applyNumberFormat="1" applyFont="1" applyFill="1" applyBorder="1" applyAlignment="1">
      <alignment horizontal="right"/>
    </xf>
    <xf numFmtId="168" fontId="6" fillId="3" borderId="36" xfId="0" applyNumberFormat="1" applyFont="1" applyFill="1" applyBorder="1"/>
    <xf numFmtId="166" fontId="11" fillId="2" borderId="37" xfId="0" applyNumberFormat="1" applyFont="1" applyFill="1" applyBorder="1" applyAlignment="1">
      <alignment horizontal="center"/>
    </xf>
    <xf numFmtId="165" fontId="6" fillId="3" borderId="36" xfId="0" applyNumberFormat="1" applyFont="1" applyFill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165" fontId="6" fillId="0" borderId="41" xfId="0" applyNumberFormat="1" applyFont="1" applyBorder="1" applyAlignment="1">
      <alignment horizontal="center"/>
    </xf>
    <xf numFmtId="165" fontId="6" fillId="0" borderId="44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5" fillId="0" borderId="46" xfId="0" applyFont="1" applyBorder="1" applyAlignment="1">
      <alignment vertical="center" wrapText="1"/>
    </xf>
    <xf numFmtId="0" fontId="6" fillId="0" borderId="31" xfId="0" applyFont="1" applyBorder="1"/>
    <xf numFmtId="0" fontId="6" fillId="0" borderId="47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5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6" fillId="0" borderId="0" xfId="0" applyFont="1"/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165" fontId="6" fillId="0" borderId="50" xfId="0" applyNumberFormat="1" applyFont="1" applyBorder="1" applyAlignment="1">
      <alignment horizontal="center"/>
    </xf>
    <xf numFmtId="165" fontId="6" fillId="0" borderId="51" xfId="0" applyNumberFormat="1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164" fontId="6" fillId="0" borderId="56" xfId="0" applyNumberFormat="1" applyFont="1" applyBorder="1" applyAlignment="1">
      <alignment horizontal="right"/>
    </xf>
    <xf numFmtId="0" fontId="6" fillId="2" borderId="23" xfId="0" applyFont="1" applyFill="1" applyBorder="1" applyAlignment="1">
      <alignment horizontal="center"/>
    </xf>
    <xf numFmtId="165" fontId="6" fillId="0" borderId="24" xfId="0" applyNumberFormat="1" applyFont="1" applyBorder="1" applyAlignment="1">
      <alignment horizontal="right"/>
    </xf>
    <xf numFmtId="165" fontId="6" fillId="0" borderId="24" xfId="0" applyNumberFormat="1" applyFont="1" applyBorder="1"/>
    <xf numFmtId="165" fontId="6" fillId="0" borderId="24" xfId="0" applyNumberFormat="1" applyFont="1" applyBorder="1" applyAlignment="1">
      <alignment horizontal="center"/>
    </xf>
    <xf numFmtId="0" fontId="5" fillId="3" borderId="0" xfId="0" applyFont="1" applyFill="1"/>
    <xf numFmtId="0" fontId="13" fillId="7" borderId="1" xfId="3" applyFont="1" applyFill="1" applyBorder="1" applyAlignment="1" applyProtection="1">
      <alignment wrapText="1"/>
    </xf>
    <xf numFmtId="0" fontId="6" fillId="7" borderId="15" xfId="0" applyFont="1" applyFill="1" applyBorder="1"/>
    <xf numFmtId="0" fontId="6" fillId="7" borderId="16" xfId="0" applyFont="1" applyFill="1" applyBorder="1" applyAlignment="1">
      <alignment wrapText="1"/>
    </xf>
    <xf numFmtId="0" fontId="6" fillId="7" borderId="25" xfId="0" applyFont="1" applyFill="1" applyBorder="1"/>
    <xf numFmtId="0" fontId="6" fillId="7" borderId="15" xfId="0" applyFont="1" applyFill="1" applyBorder="1" applyAlignment="1">
      <alignment horizontal="center"/>
    </xf>
    <xf numFmtId="0" fontId="6" fillId="7" borderId="57" xfId="0" applyFont="1" applyFill="1" applyBorder="1" applyAlignment="1">
      <alignment horizontal="center"/>
    </xf>
    <xf numFmtId="166" fontId="11" fillId="7" borderId="19" xfId="0" applyNumberFormat="1" applyFont="1" applyFill="1" applyBorder="1" applyAlignment="1">
      <alignment horizontal="center"/>
    </xf>
    <xf numFmtId="167" fontId="6" fillId="7" borderId="58" xfId="0" applyNumberFormat="1" applyFont="1" applyFill="1" applyBorder="1" applyAlignment="1">
      <alignment horizontal="right"/>
    </xf>
    <xf numFmtId="166" fontId="11" fillId="7" borderId="29" xfId="0" applyNumberFormat="1" applyFont="1" applyFill="1" applyBorder="1" applyAlignment="1">
      <alignment horizontal="center"/>
    </xf>
    <xf numFmtId="168" fontId="6" fillId="7" borderId="59" xfId="0" applyNumberFormat="1" applyFont="1" applyFill="1" applyBorder="1" applyAlignment="1">
      <alignment horizontal="right"/>
    </xf>
    <xf numFmtId="166" fontId="11" fillId="7" borderId="17" xfId="0" applyNumberFormat="1" applyFont="1" applyFill="1" applyBorder="1" applyAlignment="1">
      <alignment horizontal="center"/>
    </xf>
    <xf numFmtId="168" fontId="6" fillId="7" borderId="60" xfId="0" applyNumberFormat="1" applyFont="1" applyFill="1" applyBorder="1" applyAlignment="1">
      <alignment horizontal="right"/>
    </xf>
    <xf numFmtId="168" fontId="6" fillId="7" borderId="60" xfId="0" applyNumberFormat="1" applyFont="1" applyFill="1" applyBorder="1"/>
    <xf numFmtId="166" fontId="6" fillId="7" borderId="29" xfId="0" applyNumberFormat="1" applyFont="1" applyFill="1" applyBorder="1" applyAlignment="1">
      <alignment horizontal="center"/>
    </xf>
    <xf numFmtId="165" fontId="6" fillId="7" borderId="59" xfId="0" applyNumberFormat="1" applyFont="1" applyFill="1" applyBorder="1" applyAlignment="1">
      <alignment horizontal="center"/>
    </xf>
    <xf numFmtId="0" fontId="5" fillId="7" borderId="0" xfId="0" applyFont="1" applyFill="1"/>
    <xf numFmtId="0" fontId="6" fillId="2" borderId="57" xfId="0" applyFont="1" applyFill="1" applyBorder="1" applyAlignment="1">
      <alignment horizontal="center"/>
    </xf>
    <xf numFmtId="166" fontId="11" fillId="2" borderId="19" xfId="0" applyNumberFormat="1" applyFont="1" applyFill="1" applyBorder="1" applyAlignment="1">
      <alignment horizontal="center"/>
    </xf>
    <xf numFmtId="167" fontId="6" fillId="3" borderId="58" xfId="0" applyNumberFormat="1" applyFont="1" applyFill="1" applyBorder="1" applyAlignment="1">
      <alignment horizontal="right"/>
    </xf>
    <xf numFmtId="166" fontId="11" fillId="2" borderId="29" xfId="0" applyNumberFormat="1" applyFont="1" applyFill="1" applyBorder="1" applyAlignment="1">
      <alignment horizontal="center"/>
    </xf>
    <xf numFmtId="168" fontId="6" fillId="3" borderId="59" xfId="0" applyNumberFormat="1" applyFont="1" applyFill="1" applyBorder="1" applyAlignment="1">
      <alignment horizontal="right"/>
    </xf>
    <xf numFmtId="166" fontId="11" fillId="2" borderId="17" xfId="0" applyNumberFormat="1" applyFont="1" applyFill="1" applyBorder="1" applyAlignment="1">
      <alignment horizontal="center"/>
    </xf>
    <xf numFmtId="168" fontId="6" fillId="3" borderId="60" xfId="0" applyNumberFormat="1" applyFont="1" applyFill="1" applyBorder="1" applyAlignment="1">
      <alignment horizontal="right"/>
    </xf>
    <xf numFmtId="168" fontId="6" fillId="3" borderId="60" xfId="0" applyNumberFormat="1" applyFont="1" applyFill="1" applyBorder="1"/>
    <xf numFmtId="166" fontId="6" fillId="2" borderId="29" xfId="0" applyNumberFormat="1" applyFont="1" applyFill="1" applyBorder="1" applyAlignment="1">
      <alignment horizontal="center"/>
    </xf>
    <xf numFmtId="165" fontId="6" fillId="4" borderId="59" xfId="0" applyNumberFormat="1" applyFont="1" applyFill="1" applyBorder="1" applyAlignment="1">
      <alignment horizontal="center"/>
    </xf>
    <xf numFmtId="0" fontId="3" fillId="0" borderId="1" xfId="2" applyFill="1" applyBorder="1" applyAlignment="1" applyProtection="1">
      <alignment wrapText="1"/>
    </xf>
    <xf numFmtId="0" fontId="6" fillId="0" borderId="57" xfId="0" applyFont="1" applyBorder="1" applyAlignment="1">
      <alignment horizontal="center"/>
    </xf>
    <xf numFmtId="166" fontId="11" fillId="0" borderId="19" xfId="0" applyNumberFormat="1" applyFont="1" applyBorder="1" applyAlignment="1">
      <alignment horizontal="center"/>
    </xf>
    <xf numFmtId="167" fontId="6" fillId="0" borderId="58" xfId="0" applyNumberFormat="1" applyFont="1" applyBorder="1" applyAlignment="1">
      <alignment horizontal="right"/>
    </xf>
    <xf numFmtId="166" fontId="11" fillId="0" borderId="29" xfId="0" applyNumberFormat="1" applyFont="1" applyBorder="1" applyAlignment="1">
      <alignment horizontal="center"/>
    </xf>
    <xf numFmtId="168" fontId="6" fillId="0" borderId="59" xfId="0" applyNumberFormat="1" applyFont="1" applyBorder="1" applyAlignment="1">
      <alignment horizontal="right"/>
    </xf>
    <xf numFmtId="166" fontId="11" fillId="0" borderId="17" xfId="0" applyNumberFormat="1" applyFont="1" applyBorder="1" applyAlignment="1">
      <alignment horizontal="center"/>
    </xf>
    <xf numFmtId="168" fontId="6" fillId="0" borderId="60" xfId="0" applyNumberFormat="1" applyFont="1" applyBorder="1" applyAlignment="1">
      <alignment horizontal="right"/>
    </xf>
    <xf numFmtId="168" fontId="6" fillId="0" borderId="60" xfId="0" applyNumberFormat="1" applyFont="1" applyBorder="1"/>
    <xf numFmtId="165" fontId="6" fillId="0" borderId="59" xfId="0" applyNumberFormat="1" applyFont="1" applyBorder="1" applyAlignment="1">
      <alignment horizontal="center"/>
    </xf>
    <xf numFmtId="0" fontId="13" fillId="0" borderId="1" xfId="3" applyFont="1" applyBorder="1" applyAlignment="1" applyProtection="1">
      <alignment wrapText="1"/>
    </xf>
    <xf numFmtId="0" fontId="6" fillId="4" borderId="30" xfId="0" applyFont="1" applyFill="1" applyBorder="1" applyAlignment="1">
      <alignment horizontal="center"/>
    </xf>
    <xf numFmtId="0" fontId="13" fillId="7" borderId="14" xfId="3" applyFont="1" applyFill="1" applyBorder="1" applyAlignment="1" applyProtection="1">
      <alignment vertical="center" wrapText="1"/>
    </xf>
    <xf numFmtId="0" fontId="6" fillId="7" borderId="30" xfId="0" applyFont="1" applyFill="1" applyBorder="1" applyAlignment="1">
      <alignment horizontal="center"/>
    </xf>
    <xf numFmtId="166" fontId="6" fillId="7" borderId="27" xfId="0" applyNumberFormat="1" applyFont="1" applyFill="1" applyBorder="1" applyAlignment="1">
      <alignment horizontal="center"/>
    </xf>
    <xf numFmtId="167" fontId="6" fillId="7" borderId="28" xfId="0" applyNumberFormat="1" applyFont="1" applyFill="1" applyBorder="1" applyAlignment="1">
      <alignment horizontal="right"/>
    </xf>
    <xf numFmtId="168" fontId="6" fillId="7" borderId="28" xfId="0" applyNumberFormat="1" applyFont="1" applyFill="1" applyBorder="1" applyAlignment="1">
      <alignment horizontal="right"/>
    </xf>
    <xf numFmtId="166" fontId="11" fillId="7" borderId="27" xfId="0" applyNumberFormat="1" applyFont="1" applyFill="1" applyBorder="1" applyAlignment="1">
      <alignment horizontal="center"/>
    </xf>
    <xf numFmtId="168" fontId="6" fillId="7" borderId="28" xfId="0" applyNumberFormat="1" applyFont="1" applyFill="1" applyBorder="1"/>
    <xf numFmtId="165" fontId="6" fillId="7" borderId="28" xfId="0" applyNumberFormat="1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61" xfId="0" applyFont="1" applyFill="1" applyBorder="1" applyAlignment="1">
      <alignment horizontal="center"/>
    </xf>
    <xf numFmtId="168" fontId="6" fillId="4" borderId="36" xfId="0" applyNumberFormat="1" applyFont="1" applyFill="1" applyBorder="1" applyAlignment="1">
      <alignment horizontal="right"/>
    </xf>
    <xf numFmtId="168" fontId="6" fillId="4" borderId="36" xfId="0" applyNumberFormat="1" applyFont="1" applyFill="1" applyBorder="1"/>
    <xf numFmtId="165" fontId="6" fillId="4" borderId="36" xfId="0" applyNumberFormat="1" applyFont="1" applyFill="1" applyBorder="1" applyAlignment="1">
      <alignment horizontal="center"/>
    </xf>
    <xf numFmtId="0" fontId="14" fillId="0" borderId="1" xfId="3" applyFont="1" applyBorder="1" applyAlignment="1" applyProtection="1">
      <alignment wrapText="1"/>
    </xf>
    <xf numFmtId="0" fontId="13" fillId="0" borderId="14" xfId="3" applyFont="1" applyBorder="1" applyAlignment="1" applyProtection="1">
      <alignment wrapText="1"/>
    </xf>
    <xf numFmtId="0" fontId="6" fillId="3" borderId="62" xfId="0" applyFont="1" applyFill="1" applyBorder="1" applyAlignment="1">
      <alignment horizontal="center"/>
    </xf>
    <xf numFmtId="166" fontId="11" fillId="2" borderId="63" xfId="0" applyNumberFormat="1" applyFont="1" applyFill="1" applyBorder="1" applyAlignment="1">
      <alignment horizontal="center"/>
    </xf>
    <xf numFmtId="167" fontId="6" fillId="3" borderId="64" xfId="0" applyNumberFormat="1" applyFont="1" applyFill="1" applyBorder="1" applyAlignment="1">
      <alignment horizontal="right"/>
    </xf>
    <xf numFmtId="168" fontId="6" fillId="3" borderId="64" xfId="0" applyNumberFormat="1" applyFont="1" applyFill="1" applyBorder="1" applyAlignment="1">
      <alignment horizontal="right"/>
    </xf>
    <xf numFmtId="168" fontId="6" fillId="3" borderId="64" xfId="0" applyNumberFormat="1" applyFont="1" applyFill="1" applyBorder="1"/>
    <xf numFmtId="165" fontId="6" fillId="3" borderId="64" xfId="0" applyNumberFormat="1" applyFont="1" applyFill="1" applyBorder="1" applyAlignment="1">
      <alignment horizontal="center"/>
    </xf>
    <xf numFmtId="0" fontId="7" fillId="0" borderId="14" xfId="0" applyFont="1" applyBorder="1" applyAlignment="1">
      <alignment vertical="center" wrapText="1"/>
    </xf>
    <xf numFmtId="0" fontId="6" fillId="0" borderId="65" xfId="0" applyFont="1" applyBorder="1"/>
    <xf numFmtId="0" fontId="6" fillId="0" borderId="2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165" fontId="6" fillId="0" borderId="59" xfId="0" applyNumberFormat="1" applyFont="1" applyBorder="1" applyAlignment="1">
      <alignment horizontal="right"/>
    </xf>
    <xf numFmtId="0" fontId="6" fillId="2" borderId="17" xfId="0" applyFont="1" applyFill="1" applyBorder="1" applyAlignment="1">
      <alignment horizontal="center"/>
    </xf>
    <xf numFmtId="165" fontId="6" fillId="0" borderId="60" xfId="0" applyNumberFormat="1" applyFont="1" applyBorder="1" applyAlignment="1">
      <alignment horizontal="right"/>
    </xf>
    <xf numFmtId="165" fontId="6" fillId="0" borderId="60" xfId="0" applyNumberFormat="1" applyFont="1" applyBorder="1"/>
    <xf numFmtId="0" fontId="3" fillId="3" borderId="14" xfId="2" applyFill="1" applyBorder="1" applyAlignment="1">
      <alignment vertical="center" wrapText="1"/>
    </xf>
    <xf numFmtId="166" fontId="6" fillId="2" borderId="30" xfId="0" applyNumberFormat="1" applyFont="1" applyFill="1" applyBorder="1" applyAlignment="1">
      <alignment horizontal="center"/>
    </xf>
    <xf numFmtId="165" fontId="6" fillId="4" borderId="67" xfId="0" applyNumberFormat="1" applyFont="1" applyFill="1" applyBorder="1" applyAlignment="1">
      <alignment horizontal="center"/>
    </xf>
    <xf numFmtId="168" fontId="5" fillId="8" borderId="0" xfId="0" applyNumberFormat="1" applyFont="1" applyFill="1" applyAlignment="1">
      <alignment horizontal="right"/>
    </xf>
    <xf numFmtId="165" fontId="6" fillId="0" borderId="67" xfId="0" applyNumberFormat="1" applyFont="1" applyBorder="1" applyAlignment="1">
      <alignment horizontal="center"/>
    </xf>
    <xf numFmtId="0" fontId="5" fillId="7" borderId="30" xfId="0" applyFont="1" applyFill="1" applyBorder="1"/>
    <xf numFmtId="166" fontId="11" fillId="0" borderId="27" xfId="0" applyNumberFormat="1" applyFont="1" applyBorder="1"/>
    <xf numFmtId="167" fontId="5" fillId="7" borderId="15" xfId="0" applyNumberFormat="1" applyFont="1" applyFill="1" applyBorder="1" applyAlignment="1">
      <alignment horizontal="right"/>
    </xf>
    <xf numFmtId="168" fontId="5" fillId="7" borderId="65" xfId="0" applyNumberFormat="1" applyFont="1" applyFill="1" applyBorder="1" applyAlignment="1">
      <alignment horizontal="right"/>
    </xf>
    <xf numFmtId="168" fontId="5" fillId="7" borderId="65" xfId="0" applyNumberFormat="1" applyFont="1" applyFill="1" applyBorder="1"/>
    <xf numFmtId="0" fontId="5" fillId="7" borderId="67" xfId="0" applyFont="1" applyFill="1" applyBorder="1"/>
    <xf numFmtId="166" fontId="11" fillId="2" borderId="30" xfId="0" applyNumberFormat="1" applyFont="1" applyFill="1" applyBorder="1" applyAlignment="1">
      <alignment horizontal="center"/>
    </xf>
    <xf numFmtId="165" fontId="6" fillId="4" borderId="15" xfId="0" applyNumberFormat="1" applyFont="1" applyFill="1" applyBorder="1" applyAlignment="1">
      <alignment horizontal="center"/>
    </xf>
    <xf numFmtId="166" fontId="11" fillId="0" borderId="47" xfId="0" applyNumberFormat="1" applyFont="1" applyBorder="1"/>
    <xf numFmtId="167" fontId="5" fillId="7" borderId="58" xfId="0" applyNumberFormat="1" applyFont="1" applyFill="1" applyBorder="1" applyAlignment="1">
      <alignment horizontal="right"/>
    </xf>
    <xf numFmtId="168" fontId="5" fillId="7" borderId="0" xfId="0" applyNumberFormat="1" applyFont="1" applyFill="1" applyAlignment="1">
      <alignment horizontal="right"/>
    </xf>
    <xf numFmtId="166" fontId="11" fillId="7" borderId="25" xfId="0" applyNumberFormat="1" applyFont="1" applyFill="1" applyBorder="1" applyAlignment="1">
      <alignment horizontal="center"/>
    </xf>
    <xf numFmtId="168" fontId="5" fillId="7" borderId="0" xfId="0" applyNumberFormat="1" applyFont="1" applyFill="1"/>
    <xf numFmtId="165" fontId="6" fillId="3" borderId="67" xfId="0" applyNumberFormat="1" applyFont="1" applyFill="1" applyBorder="1" applyAlignment="1">
      <alignment horizontal="center"/>
    </xf>
    <xf numFmtId="0" fontId="3" fillId="3" borderId="1" xfId="2" applyFill="1" applyBorder="1" applyAlignment="1" applyProtection="1">
      <alignment vertical="center" wrapText="1"/>
    </xf>
    <xf numFmtId="166" fontId="6" fillId="0" borderId="30" xfId="0" applyNumberFormat="1" applyFont="1" applyBorder="1" applyAlignment="1">
      <alignment horizontal="center"/>
    </xf>
    <xf numFmtId="0" fontId="6" fillId="3" borderId="16" xfId="0" applyFont="1" applyFill="1" applyBorder="1"/>
    <xf numFmtId="0" fontId="15" fillId="3" borderId="2" xfId="0" applyFont="1" applyFill="1" applyBorder="1" applyAlignment="1">
      <alignment wrapText="1"/>
    </xf>
    <xf numFmtId="0" fontId="16" fillId="4" borderId="14" xfId="0" applyFont="1" applyFill="1" applyBorder="1" applyAlignment="1">
      <alignment vertical="center" wrapText="1"/>
    </xf>
    <xf numFmtId="0" fontId="6" fillId="4" borderId="15" xfId="0" applyFont="1" applyFill="1" applyBorder="1"/>
    <xf numFmtId="0" fontId="6" fillId="4" borderId="16" xfId="0" applyFont="1" applyFill="1" applyBorder="1" applyAlignment="1">
      <alignment wrapText="1"/>
    </xf>
    <xf numFmtId="0" fontId="6" fillId="4" borderId="25" xfId="0" applyFont="1" applyFill="1" applyBorder="1"/>
    <xf numFmtId="166" fontId="11" fillId="4" borderId="27" xfId="0" applyNumberFormat="1" applyFont="1" applyFill="1" applyBorder="1" applyAlignment="1">
      <alignment horizontal="center"/>
    </xf>
    <xf numFmtId="166" fontId="11" fillId="4" borderId="25" xfId="0" applyNumberFormat="1" applyFont="1" applyFill="1" applyBorder="1" applyAlignment="1">
      <alignment horizontal="center"/>
    </xf>
    <xf numFmtId="168" fontId="6" fillId="4" borderId="15" xfId="0" applyNumberFormat="1" applyFont="1" applyFill="1" applyBorder="1"/>
    <xf numFmtId="166" fontId="6" fillId="4" borderId="30" xfId="0" applyNumberFormat="1" applyFont="1" applyFill="1" applyBorder="1" applyAlignment="1">
      <alignment horizontal="center"/>
    </xf>
    <xf numFmtId="0" fontId="5" fillId="4" borderId="0" xfId="0" applyFont="1" applyFill="1"/>
    <xf numFmtId="0" fontId="13" fillId="3" borderId="14" xfId="3" applyFont="1" applyFill="1" applyBorder="1" applyAlignment="1" applyProtection="1">
      <alignment vertical="center" wrapText="1"/>
    </xf>
    <xf numFmtId="166" fontId="6" fillId="2" borderId="16" xfId="0" applyNumberFormat="1" applyFont="1" applyFill="1" applyBorder="1" applyAlignment="1">
      <alignment horizontal="center"/>
    </xf>
    <xf numFmtId="167" fontId="6" fillId="3" borderId="60" xfId="0" applyNumberFormat="1" applyFont="1" applyFill="1" applyBorder="1" applyAlignment="1">
      <alignment horizontal="right"/>
    </xf>
    <xf numFmtId="166" fontId="11" fillId="0" borderId="26" xfId="0" applyNumberFormat="1" applyFont="1" applyBorder="1" applyAlignment="1">
      <alignment horizontal="center"/>
    </xf>
    <xf numFmtId="168" fontId="6" fillId="0" borderId="65" xfId="0" applyNumberFormat="1" applyFont="1" applyBorder="1"/>
    <xf numFmtId="168" fontId="6" fillId="0" borderId="65" xfId="0" applyNumberFormat="1" applyFont="1" applyBorder="1" applyAlignment="1">
      <alignment horizontal="right"/>
    </xf>
    <xf numFmtId="0" fontId="3" fillId="9" borderId="14" xfId="2" applyFill="1" applyBorder="1" applyAlignment="1" applyProtection="1">
      <alignment vertical="center" wrapText="1"/>
    </xf>
    <xf numFmtId="0" fontId="3" fillId="9" borderId="0" xfId="2" applyFill="1"/>
    <xf numFmtId="0" fontId="13" fillId="9" borderId="14" xfId="3" applyFont="1" applyFill="1" applyBorder="1" applyAlignment="1" applyProtection="1">
      <alignment vertical="center" wrapText="1"/>
    </xf>
    <xf numFmtId="0" fontId="6" fillId="2" borderId="15" xfId="0" applyFont="1" applyFill="1" applyBorder="1"/>
    <xf numFmtId="167" fontId="6" fillId="3" borderId="68" xfId="0" applyNumberFormat="1" applyFont="1" applyFill="1" applyBorder="1" applyAlignment="1">
      <alignment horizontal="right"/>
    </xf>
    <xf numFmtId="166" fontId="11" fillId="2" borderId="69" xfId="0" applyNumberFormat="1" applyFont="1" applyFill="1" applyBorder="1" applyAlignment="1">
      <alignment horizontal="center"/>
    </xf>
    <xf numFmtId="168" fontId="6" fillId="3" borderId="68" xfId="0" applyNumberFormat="1" applyFont="1" applyFill="1" applyBorder="1" applyAlignment="1">
      <alignment horizontal="right"/>
    </xf>
    <xf numFmtId="168" fontId="6" fillId="3" borderId="68" xfId="0" applyNumberFormat="1" applyFont="1" applyFill="1" applyBorder="1"/>
    <xf numFmtId="166" fontId="11" fillId="2" borderId="62" xfId="0" applyNumberFormat="1" applyFont="1" applyFill="1" applyBorder="1" applyAlignment="1">
      <alignment horizontal="center"/>
    </xf>
    <xf numFmtId="165" fontId="6" fillId="4" borderId="70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11" fillId="0" borderId="71" xfId="0" applyFont="1" applyBorder="1" applyAlignment="1">
      <alignment horizontal="center"/>
    </xf>
    <xf numFmtId="164" fontId="6" fillId="0" borderId="71" xfId="0" applyNumberFormat="1" applyFont="1" applyBorder="1" applyAlignment="1">
      <alignment horizontal="right"/>
    </xf>
    <xf numFmtId="165" fontId="6" fillId="0" borderId="71" xfId="0" applyNumberFormat="1" applyFont="1" applyBorder="1" applyAlignment="1">
      <alignment horizontal="right"/>
    </xf>
    <xf numFmtId="165" fontId="6" fillId="0" borderId="71" xfId="0" applyNumberFormat="1" applyFont="1" applyBorder="1"/>
    <xf numFmtId="165" fontId="6" fillId="0" borderId="7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164" fontId="6" fillId="0" borderId="59" xfId="0" applyNumberFormat="1" applyFont="1" applyBorder="1" applyAlignment="1">
      <alignment horizontal="right"/>
    </xf>
    <xf numFmtId="0" fontId="16" fillId="0" borderId="15" xfId="0" applyFont="1" applyBorder="1" applyAlignment="1">
      <alignment vertical="center"/>
    </xf>
    <xf numFmtId="0" fontId="5" fillId="0" borderId="15" xfId="0" applyFont="1" applyBorder="1"/>
    <xf numFmtId="0" fontId="0" fillId="0" borderId="16" xfId="0" applyBorder="1"/>
    <xf numFmtId="0" fontId="0" fillId="0" borderId="25" xfId="0" applyBorder="1"/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center"/>
    </xf>
    <xf numFmtId="166" fontId="2" fillId="0" borderId="27" xfId="0" applyNumberFormat="1" applyFont="1" applyBorder="1" applyAlignment="1">
      <alignment horizontal="center"/>
    </xf>
    <xf numFmtId="167" fontId="0" fillId="0" borderId="15" xfId="0" applyNumberFormat="1" applyBorder="1" applyAlignment="1">
      <alignment horizontal="right"/>
    </xf>
    <xf numFmtId="168" fontId="0" fillId="0" borderId="28" xfId="0" applyNumberFormat="1" applyBorder="1" applyAlignment="1">
      <alignment horizontal="right"/>
    </xf>
    <xf numFmtId="166" fontId="2" fillId="0" borderId="25" xfId="0" applyNumberFormat="1" applyFont="1" applyBorder="1"/>
    <xf numFmtId="168" fontId="0" fillId="0" borderId="15" xfId="0" applyNumberFormat="1" applyBorder="1" applyAlignment="1">
      <alignment horizontal="right"/>
    </xf>
    <xf numFmtId="166" fontId="0" fillId="0" borderId="27" xfId="0" applyNumberFormat="1" applyBorder="1"/>
    <xf numFmtId="168" fontId="0" fillId="0" borderId="15" xfId="0" applyNumberFormat="1" applyBorder="1"/>
    <xf numFmtId="166" fontId="0" fillId="0" borderId="26" xfId="0" applyNumberFormat="1" applyBorder="1"/>
    <xf numFmtId="0" fontId="0" fillId="0" borderId="28" xfId="0" applyBorder="1"/>
    <xf numFmtId="166" fontId="17" fillId="2" borderId="27" xfId="0" applyNumberFormat="1" applyFont="1" applyFill="1" applyBorder="1" applyAlignment="1">
      <alignment horizontal="center"/>
    </xf>
    <xf numFmtId="168" fontId="17" fillId="3" borderId="28" xfId="0" applyNumberFormat="1" applyFont="1" applyFill="1" applyBorder="1" applyAlignment="1">
      <alignment horizontal="right"/>
    </xf>
    <xf numFmtId="166" fontId="2" fillId="2" borderId="27" xfId="0" applyNumberFormat="1" applyFont="1" applyFill="1" applyBorder="1" applyAlignment="1">
      <alignment horizontal="center"/>
    </xf>
    <xf numFmtId="0" fontId="5" fillId="0" borderId="72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5" fillId="0" borderId="73" xfId="0" applyFont="1" applyBorder="1"/>
    <xf numFmtId="0" fontId="6" fillId="0" borderId="74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166" fontId="6" fillId="2" borderId="25" xfId="0" applyNumberFormat="1" applyFont="1" applyFill="1" applyBorder="1" applyAlignment="1">
      <alignment horizontal="center"/>
    </xf>
    <xf numFmtId="0" fontId="3" fillId="0" borderId="14" xfId="2" applyFill="1" applyBorder="1" applyAlignment="1" applyProtection="1">
      <alignment vertical="center" wrapText="1"/>
    </xf>
    <xf numFmtId="0" fontId="6" fillId="0" borderId="67" xfId="0" applyFont="1" applyBorder="1" applyAlignment="1">
      <alignment horizontal="center"/>
    </xf>
    <xf numFmtId="0" fontId="5" fillId="0" borderId="58" xfId="0" applyFont="1" applyBorder="1"/>
    <xf numFmtId="0" fontId="5" fillId="0" borderId="71" xfId="0" applyFont="1" applyBorder="1"/>
    <xf numFmtId="0" fontId="6" fillId="0" borderId="6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165" fontId="6" fillId="0" borderId="20" xfId="0" applyNumberFormat="1" applyFont="1" applyBorder="1" applyAlignment="1">
      <alignment horizontal="right"/>
    </xf>
    <xf numFmtId="0" fontId="6" fillId="2" borderId="21" xfId="0" applyFont="1" applyFill="1" applyBorder="1" applyAlignment="1">
      <alignment horizontal="center"/>
    </xf>
    <xf numFmtId="165" fontId="6" fillId="0" borderId="22" xfId="0" applyNumberFormat="1" applyFont="1" applyBorder="1" applyAlignment="1">
      <alignment horizontal="right"/>
    </xf>
    <xf numFmtId="0" fontId="5" fillId="3" borderId="15" xfId="0" applyFont="1" applyFill="1" applyBorder="1"/>
    <xf numFmtId="0" fontId="5" fillId="3" borderId="16" xfId="0" applyFont="1" applyFill="1" applyBorder="1" applyAlignment="1">
      <alignment wrapText="1"/>
    </xf>
    <xf numFmtId="0" fontId="5" fillId="3" borderId="25" xfId="0" applyFont="1" applyFill="1" applyBorder="1"/>
    <xf numFmtId="0" fontId="5" fillId="3" borderId="15" xfId="0" applyFont="1" applyFill="1" applyBorder="1" applyAlignment="1">
      <alignment horizontal="center"/>
    </xf>
    <xf numFmtId="166" fontId="6" fillId="2" borderId="26" xfId="0" applyNumberFormat="1" applyFont="1" applyFill="1" applyBorder="1" applyAlignment="1">
      <alignment horizontal="center"/>
    </xf>
    <xf numFmtId="0" fontId="16" fillId="0" borderId="14" xfId="0" applyFont="1" applyBorder="1" applyAlignment="1">
      <alignment vertical="center" wrapText="1"/>
    </xf>
    <xf numFmtId="0" fontId="5" fillId="0" borderId="16" xfId="0" applyFont="1" applyBorder="1" applyAlignment="1">
      <alignment wrapText="1"/>
    </xf>
    <xf numFmtId="0" fontId="5" fillId="0" borderId="25" xfId="0" applyFont="1" applyBorder="1"/>
    <xf numFmtId="0" fontId="5" fillId="0" borderId="1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67" fontId="5" fillId="0" borderId="15" xfId="0" applyNumberFormat="1" applyFont="1" applyBorder="1" applyAlignment="1">
      <alignment horizontal="right"/>
    </xf>
    <xf numFmtId="168" fontId="5" fillId="0" borderId="28" xfId="0" applyNumberFormat="1" applyFont="1" applyBorder="1" applyAlignment="1">
      <alignment horizontal="right"/>
    </xf>
    <xf numFmtId="166" fontId="11" fillId="0" borderId="25" xfId="0" applyNumberFormat="1" applyFont="1" applyBorder="1"/>
    <xf numFmtId="168" fontId="5" fillId="0" borderId="15" xfId="0" applyNumberFormat="1" applyFont="1" applyBorder="1" applyAlignment="1">
      <alignment horizontal="right"/>
    </xf>
    <xf numFmtId="166" fontId="5" fillId="0" borderId="27" xfId="0" applyNumberFormat="1" applyFont="1" applyBorder="1"/>
    <xf numFmtId="168" fontId="5" fillId="0" borderId="15" xfId="0" applyNumberFormat="1" applyFont="1" applyBorder="1"/>
    <xf numFmtId="166" fontId="5" fillId="0" borderId="26" xfId="0" applyNumberFormat="1" applyFont="1" applyBorder="1"/>
    <xf numFmtId="0" fontId="5" fillId="0" borderId="28" xfId="0" applyFont="1" applyBorder="1"/>
    <xf numFmtId="166" fontId="6" fillId="0" borderId="26" xfId="0" applyNumberFormat="1" applyFont="1" applyBorder="1" applyAlignment="1">
      <alignment horizontal="center"/>
    </xf>
    <xf numFmtId="0" fontId="6" fillId="10" borderId="15" xfId="0" applyFont="1" applyFill="1" applyBorder="1"/>
    <xf numFmtId="166" fontId="11" fillId="2" borderId="26" xfId="0" applyNumberFormat="1" applyFont="1" applyFill="1" applyBorder="1" applyAlignment="1">
      <alignment horizontal="center"/>
    </xf>
    <xf numFmtId="0" fontId="6" fillId="7" borderId="26" xfId="0" applyFont="1" applyFill="1" applyBorder="1" applyAlignment="1">
      <alignment horizontal="center"/>
    </xf>
    <xf numFmtId="167" fontId="6" fillId="7" borderId="15" xfId="0" applyNumberFormat="1" applyFont="1" applyFill="1" applyBorder="1" applyAlignment="1">
      <alignment horizontal="right"/>
    </xf>
    <xf numFmtId="168" fontId="6" fillId="7" borderId="15" xfId="0" applyNumberFormat="1" applyFont="1" applyFill="1" applyBorder="1" applyAlignment="1">
      <alignment horizontal="right"/>
    </xf>
    <xf numFmtId="168" fontId="6" fillId="7" borderId="15" xfId="0" applyNumberFormat="1" applyFont="1" applyFill="1" applyBorder="1"/>
    <xf numFmtId="0" fontId="16" fillId="3" borderId="14" xfId="0" applyFont="1" applyFill="1" applyBorder="1" applyAlignment="1">
      <alignment vertical="center" wrapText="1"/>
    </xf>
    <xf numFmtId="0" fontId="19" fillId="0" borderId="15" xfId="0" applyFont="1" applyBorder="1"/>
    <xf numFmtId="167" fontId="6" fillId="0" borderId="65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6" fillId="0" borderId="47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2" borderId="77" xfId="0" applyFont="1" applyFill="1" applyBorder="1" applyAlignment="1">
      <alignment horizontal="center"/>
    </xf>
    <xf numFmtId="165" fontId="6" fillId="0" borderId="78" xfId="0" applyNumberFormat="1" applyFont="1" applyBorder="1" applyAlignment="1">
      <alignment horizontal="right"/>
    </xf>
    <xf numFmtId="165" fontId="6" fillId="0" borderId="56" xfId="0" applyNumberFormat="1" applyFont="1" applyBorder="1"/>
    <xf numFmtId="165" fontId="6" fillId="0" borderId="56" xfId="0" applyNumberFormat="1" applyFont="1" applyBorder="1" applyAlignment="1">
      <alignment horizontal="right"/>
    </xf>
    <xf numFmtId="0" fontId="6" fillId="2" borderId="54" xfId="0" applyFont="1" applyFill="1" applyBorder="1" applyAlignment="1">
      <alignment horizontal="center"/>
    </xf>
    <xf numFmtId="165" fontId="6" fillId="0" borderId="79" xfId="0" applyNumberFormat="1" applyFont="1" applyBorder="1" applyAlignment="1">
      <alignment horizontal="center"/>
    </xf>
    <xf numFmtId="166" fontId="11" fillId="8" borderId="27" xfId="0" applyNumberFormat="1" applyFont="1" applyFill="1" applyBorder="1" applyAlignment="1">
      <alignment horizontal="center"/>
    </xf>
    <xf numFmtId="166" fontId="5" fillId="0" borderId="27" xfId="0" applyNumberFormat="1" applyFont="1" applyBorder="1" applyAlignment="1">
      <alignment horizontal="center"/>
    </xf>
    <xf numFmtId="166" fontId="6" fillId="0" borderId="27" xfId="0" applyNumberFormat="1" applyFont="1" applyBorder="1"/>
    <xf numFmtId="166" fontId="5" fillId="0" borderId="30" xfId="0" applyNumberFormat="1" applyFont="1" applyBorder="1"/>
    <xf numFmtId="0" fontId="5" fillId="0" borderId="67" xfId="0" applyFont="1" applyBorder="1"/>
    <xf numFmtId="0" fontId="3" fillId="3" borderId="72" xfId="2" applyFill="1" applyBorder="1" applyAlignment="1" applyProtection="1">
      <alignment vertical="center" wrapText="1"/>
    </xf>
    <xf numFmtId="0" fontId="5" fillId="3" borderId="32" xfId="0" applyFont="1" applyFill="1" applyBorder="1" applyAlignment="1">
      <alignment wrapText="1"/>
    </xf>
    <xf numFmtId="0" fontId="5" fillId="3" borderId="33" xfId="0" applyFont="1" applyFill="1" applyBorder="1"/>
    <xf numFmtId="0" fontId="5" fillId="3" borderId="32" xfId="0" applyFont="1" applyFill="1" applyBorder="1" applyAlignment="1">
      <alignment horizontal="center"/>
    </xf>
    <xf numFmtId="0" fontId="6" fillId="3" borderId="61" xfId="0" applyFont="1" applyFill="1" applyBorder="1" applyAlignment="1">
      <alignment horizontal="center"/>
    </xf>
    <xf numFmtId="168" fontId="6" fillId="3" borderId="31" xfId="0" applyNumberFormat="1" applyFont="1" applyFill="1" applyBorder="1"/>
    <xf numFmtId="166" fontId="6" fillId="2" borderId="61" xfId="0" applyNumberFormat="1" applyFont="1" applyFill="1" applyBorder="1" applyAlignment="1">
      <alignment horizontal="center"/>
    </xf>
    <xf numFmtId="165" fontId="6" fillId="4" borderId="80" xfId="0" applyNumberFormat="1" applyFont="1" applyFill="1" applyBorder="1" applyAlignment="1">
      <alignment horizontal="center"/>
    </xf>
    <xf numFmtId="166" fontId="6" fillId="0" borderId="35" xfId="0" applyNumberFormat="1" applyFont="1" applyBorder="1" applyAlignment="1">
      <alignment horizontal="center"/>
    </xf>
    <xf numFmtId="167" fontId="6" fillId="0" borderId="31" xfId="0" applyNumberFormat="1" applyFont="1" applyBorder="1" applyAlignment="1">
      <alignment horizontal="right"/>
    </xf>
    <xf numFmtId="166" fontId="11" fillId="0" borderId="35" xfId="0" applyNumberFormat="1" applyFont="1" applyBorder="1" applyAlignment="1">
      <alignment horizontal="center"/>
    </xf>
    <xf numFmtId="166" fontId="6" fillId="0" borderId="61" xfId="0" applyNumberFormat="1" applyFont="1" applyBorder="1" applyAlignment="1">
      <alignment horizontal="center"/>
    </xf>
    <xf numFmtId="0" fontId="13" fillId="0" borderId="72" xfId="3" applyFont="1" applyFill="1" applyBorder="1" applyAlignment="1" applyProtection="1">
      <alignment vertical="center" wrapText="1"/>
    </xf>
    <xf numFmtId="0" fontId="5" fillId="0" borderId="32" xfId="0" applyFont="1" applyBorder="1" applyAlignment="1">
      <alignment wrapText="1"/>
    </xf>
    <xf numFmtId="0" fontId="5" fillId="0" borderId="81" xfId="0" applyFont="1" applyBorder="1" applyAlignment="1">
      <alignment horizontal="center"/>
    </xf>
    <xf numFmtId="166" fontId="6" fillId="0" borderId="19" xfId="0" applyNumberFormat="1" applyFont="1" applyBorder="1" applyAlignment="1">
      <alignment horizontal="center"/>
    </xf>
    <xf numFmtId="168" fontId="6" fillId="0" borderId="2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right"/>
    </xf>
    <xf numFmtId="166" fontId="11" fillId="0" borderId="76" xfId="0" applyNumberFormat="1" applyFont="1" applyBorder="1" applyAlignment="1">
      <alignment horizontal="center"/>
    </xf>
    <xf numFmtId="168" fontId="6" fillId="0" borderId="0" xfId="0" applyNumberFormat="1" applyFont="1"/>
    <xf numFmtId="166" fontId="6" fillId="0" borderId="76" xfId="0" applyNumberFormat="1" applyFont="1" applyBorder="1" applyAlignment="1">
      <alignment horizontal="center"/>
    </xf>
    <xf numFmtId="168" fontId="6" fillId="0" borderId="82" xfId="0" applyNumberFormat="1" applyFont="1" applyBorder="1" applyAlignment="1">
      <alignment horizontal="right"/>
    </xf>
    <xf numFmtId="166" fontId="6" fillId="0" borderId="57" xfId="0" applyNumberFormat="1" applyFont="1" applyBorder="1" applyAlignment="1">
      <alignment horizontal="center"/>
    </xf>
    <xf numFmtId="165" fontId="6" fillId="0" borderId="82" xfId="0" applyNumberFormat="1" applyFont="1" applyBorder="1" applyAlignment="1">
      <alignment horizontal="center"/>
    </xf>
    <xf numFmtId="0" fontId="5" fillId="3" borderId="81" xfId="0" applyFont="1" applyFill="1" applyBorder="1" applyAlignment="1">
      <alignment horizontal="center"/>
    </xf>
    <xf numFmtId="0" fontId="7" fillId="0" borderId="72" xfId="0" applyFont="1" applyBorder="1" applyAlignment="1">
      <alignment vertical="center" wrapText="1"/>
    </xf>
    <xf numFmtId="0" fontId="6" fillId="0" borderId="32" xfId="0" applyFont="1" applyBorder="1" applyAlignment="1">
      <alignment wrapText="1"/>
    </xf>
    <xf numFmtId="0" fontId="6" fillId="0" borderId="81" xfId="0" applyFont="1" applyBorder="1"/>
    <xf numFmtId="0" fontId="6" fillId="0" borderId="81" xfId="0" applyFont="1" applyBorder="1" applyAlignment="1">
      <alignment horizontal="center"/>
    </xf>
    <xf numFmtId="0" fontId="16" fillId="0" borderId="1" xfId="0" applyFont="1" applyBorder="1" applyAlignment="1">
      <alignment vertical="center" wrapText="1"/>
    </xf>
    <xf numFmtId="0" fontId="5" fillId="0" borderId="71" xfId="0" applyFont="1" applyBorder="1" applyAlignment="1">
      <alignment horizontal="center"/>
    </xf>
    <xf numFmtId="0" fontId="11" fillId="0" borderId="0" xfId="0" applyFont="1" applyAlignment="1">
      <alignment horizontal="center"/>
    </xf>
    <xf numFmtId="165" fontId="5" fillId="0" borderId="0" xfId="0" applyNumberFormat="1" applyFont="1" applyAlignment="1">
      <alignment horizontal="right"/>
    </xf>
    <xf numFmtId="0" fontId="11" fillId="0" borderId="0" xfId="0" applyFont="1"/>
    <xf numFmtId="0" fontId="11" fillId="3" borderId="25" xfId="0" applyFont="1" applyFill="1" applyBorder="1" applyAlignment="1">
      <alignment horizontal="center"/>
    </xf>
    <xf numFmtId="0" fontId="4" fillId="0" borderId="14" xfId="0" applyFont="1" applyBorder="1" applyAlignment="1">
      <alignment vertical="center" wrapText="1"/>
    </xf>
    <xf numFmtId="0" fontId="5" fillId="0" borderId="30" xfId="0" applyFont="1" applyBorder="1"/>
    <xf numFmtId="168" fontId="5" fillId="0" borderId="16" xfId="0" applyNumberFormat="1" applyFont="1" applyBorder="1" applyAlignment="1">
      <alignment horizontal="right"/>
    </xf>
    <xf numFmtId="166" fontId="5" fillId="0" borderId="16" xfId="0" applyNumberFormat="1" applyFont="1" applyBorder="1"/>
    <xf numFmtId="168" fontId="5" fillId="0" borderId="16" xfId="0" applyNumberFormat="1" applyFont="1" applyBorder="1"/>
    <xf numFmtId="0" fontId="11" fillId="0" borderId="28" xfId="0" applyFont="1" applyBorder="1" applyAlignment="1">
      <alignment horizontal="center"/>
    </xf>
    <xf numFmtId="166" fontId="11" fillId="2" borderId="0" xfId="0" applyNumberFormat="1" applyFont="1" applyFill="1" applyAlignment="1">
      <alignment horizontal="center"/>
    </xf>
    <xf numFmtId="0" fontId="5" fillId="0" borderId="81" xfId="0" applyFont="1" applyBorder="1"/>
    <xf numFmtId="0" fontId="5" fillId="0" borderId="80" xfId="0" applyFont="1" applyBorder="1" applyAlignment="1">
      <alignment horizontal="center"/>
    </xf>
    <xf numFmtId="0" fontId="6" fillId="0" borderId="82" xfId="0" applyFont="1" applyBorder="1" applyAlignment="1">
      <alignment horizontal="right"/>
    </xf>
    <xf numFmtId="0" fontId="6" fillId="0" borderId="82" xfId="0" applyFont="1" applyBorder="1" applyAlignment="1">
      <alignment horizontal="center"/>
    </xf>
    <xf numFmtId="165" fontId="6" fillId="11" borderId="28" xfId="0" applyNumberFormat="1" applyFont="1" applyFill="1" applyBorder="1" applyAlignment="1">
      <alignment horizontal="center"/>
    </xf>
    <xf numFmtId="0" fontId="3" fillId="3" borderId="0" xfId="2" applyFill="1"/>
    <xf numFmtId="165" fontId="6" fillId="10" borderId="28" xfId="0" applyNumberFormat="1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6" fillId="4" borderId="72" xfId="0" applyFont="1" applyFill="1" applyBorder="1" applyAlignment="1">
      <alignment vertical="center" wrapText="1"/>
    </xf>
    <xf numFmtId="166" fontId="11" fillId="4" borderId="35" xfId="0" applyNumberFormat="1" applyFont="1" applyFill="1" applyBorder="1" applyAlignment="1">
      <alignment horizontal="center"/>
    </xf>
    <xf numFmtId="0" fontId="13" fillId="3" borderId="72" xfId="3" applyFont="1" applyFill="1" applyBorder="1" applyAlignment="1" applyProtection="1">
      <alignment vertical="center" wrapText="1"/>
    </xf>
    <xf numFmtId="0" fontId="6" fillId="3" borderId="81" xfId="0" applyFont="1" applyFill="1" applyBorder="1"/>
    <xf numFmtId="0" fontId="6" fillId="3" borderId="81" xfId="0" applyFont="1" applyFill="1" applyBorder="1" applyAlignment="1">
      <alignment horizontal="center"/>
    </xf>
    <xf numFmtId="0" fontId="6" fillId="3" borderId="57" xfId="0" applyFont="1" applyFill="1" applyBorder="1" applyAlignment="1">
      <alignment horizontal="center"/>
    </xf>
    <xf numFmtId="0" fontId="11" fillId="2" borderId="76" xfId="0" applyFont="1" applyFill="1" applyBorder="1" applyAlignment="1">
      <alignment horizontal="center"/>
    </xf>
    <xf numFmtId="165" fontId="6" fillId="3" borderId="0" xfId="0" applyNumberFormat="1" applyFont="1" applyFill="1" applyAlignment="1">
      <alignment horizontal="right"/>
    </xf>
    <xf numFmtId="165" fontId="6" fillId="3" borderId="82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center"/>
    </xf>
    <xf numFmtId="0" fontId="11" fillId="2" borderId="83" xfId="0" applyFont="1" applyFill="1" applyBorder="1" applyAlignment="1">
      <alignment horizontal="center"/>
    </xf>
    <xf numFmtId="165" fontId="6" fillId="3" borderId="0" xfId="0" applyNumberFormat="1" applyFont="1" applyFill="1"/>
    <xf numFmtId="165" fontId="6" fillId="4" borderId="82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4" fillId="0" borderId="84" xfId="0" applyFont="1" applyBorder="1" applyAlignment="1">
      <alignment wrapText="1"/>
    </xf>
    <xf numFmtId="0" fontId="4" fillId="0" borderId="85" xfId="0" applyFont="1" applyBorder="1"/>
    <xf numFmtId="0" fontId="4" fillId="0" borderId="85" xfId="0" applyFont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6" xfId="0" applyBorder="1"/>
    <xf numFmtId="0" fontId="4" fillId="0" borderId="87" xfId="0" applyFont="1" applyBorder="1" applyAlignment="1">
      <alignment horizontal="center"/>
    </xf>
    <xf numFmtId="0" fontId="5" fillId="0" borderId="88" xfId="0" applyFont="1" applyBorder="1" applyAlignment="1">
      <alignment wrapText="1"/>
    </xf>
    <xf numFmtId="0" fontId="4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wrapText="1"/>
    </xf>
    <xf numFmtId="0" fontId="5" fillId="0" borderId="90" xfId="0" applyFont="1" applyBorder="1"/>
    <xf numFmtId="0" fontId="5" fillId="0" borderId="7" xfId="0" applyFont="1" applyBorder="1"/>
    <xf numFmtId="0" fontId="5" fillId="0" borderId="17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right"/>
    </xf>
    <xf numFmtId="0" fontId="13" fillId="10" borderId="1" xfId="3" applyFont="1" applyFill="1" applyBorder="1" applyAlignment="1" applyProtection="1">
      <alignment wrapText="1"/>
    </xf>
    <xf numFmtId="0" fontId="5" fillId="10" borderId="31" xfId="0" applyFont="1" applyFill="1" applyBorder="1"/>
    <xf numFmtId="0" fontId="5" fillId="10" borderId="1" xfId="0" applyFont="1" applyFill="1" applyBorder="1" applyAlignment="1">
      <alignment wrapText="1"/>
    </xf>
    <xf numFmtId="166" fontId="11" fillId="2" borderId="16" xfId="0" applyNumberFormat="1" applyFont="1" applyFill="1" applyBorder="1"/>
    <xf numFmtId="168" fontId="5" fillId="10" borderId="16" xfId="0" applyNumberFormat="1" applyFont="1" applyFill="1" applyBorder="1"/>
    <xf numFmtId="166" fontId="11" fillId="2" borderId="25" xfId="0" applyNumberFormat="1" applyFont="1" applyFill="1" applyBorder="1"/>
    <xf numFmtId="166" fontId="11" fillId="2" borderId="16" xfId="0" applyNumberFormat="1" applyFont="1" applyFill="1" applyBorder="1" applyAlignment="1">
      <alignment horizontal="right"/>
    </xf>
    <xf numFmtId="166" fontId="5" fillId="2" borderId="16" xfId="0" applyNumberFormat="1" applyFont="1" applyFill="1" applyBorder="1" applyAlignment="1">
      <alignment horizontal="right"/>
    </xf>
    <xf numFmtId="166" fontId="5" fillId="2" borderId="16" xfId="0" applyNumberFormat="1" applyFont="1" applyFill="1" applyBorder="1"/>
    <xf numFmtId="0" fontId="5" fillId="6" borderId="0" xfId="0" applyFont="1" applyFill="1"/>
    <xf numFmtId="0" fontId="13" fillId="0" borderId="1" xfId="3" applyFont="1" applyFill="1" applyBorder="1" applyAlignment="1" applyProtection="1">
      <alignment wrapText="1"/>
    </xf>
    <xf numFmtId="0" fontId="5" fillId="0" borderId="1" xfId="0" applyFont="1" applyBorder="1" applyAlignment="1">
      <alignment wrapText="1"/>
    </xf>
    <xf numFmtId="166" fontId="11" fillId="0" borderId="16" xfId="0" applyNumberFormat="1" applyFont="1" applyBorder="1"/>
    <xf numFmtId="166" fontId="11" fillId="0" borderId="16" xfId="0" applyNumberFormat="1" applyFont="1" applyBorder="1" applyAlignment="1">
      <alignment horizontal="right"/>
    </xf>
    <xf numFmtId="166" fontId="5" fillId="0" borderId="16" xfId="0" applyNumberFormat="1" applyFont="1" applyBorder="1" applyAlignment="1">
      <alignment horizontal="right"/>
    </xf>
    <xf numFmtId="0" fontId="5" fillId="10" borderId="58" xfId="0" applyFont="1" applyFill="1" applyBorder="1"/>
    <xf numFmtId="166" fontId="5" fillId="0" borderId="25" xfId="0" applyNumberFormat="1" applyFont="1" applyBorder="1"/>
    <xf numFmtId="0" fontId="11" fillId="12" borderId="1" xfId="3" applyFont="1" applyFill="1" applyBorder="1" applyAlignment="1" applyProtection="1">
      <alignment wrapText="1"/>
    </xf>
    <xf numFmtId="0" fontId="5" fillId="12" borderId="58" xfId="0" applyFont="1" applyFill="1" applyBorder="1"/>
    <xf numFmtId="0" fontId="5" fillId="12" borderId="1" xfId="0" applyFont="1" applyFill="1" applyBorder="1" applyAlignment="1">
      <alignment wrapText="1"/>
    </xf>
    <xf numFmtId="168" fontId="5" fillId="12" borderId="16" xfId="0" applyNumberFormat="1" applyFont="1" applyFill="1" applyBorder="1"/>
    <xf numFmtId="166" fontId="5" fillId="8" borderId="16" xfId="0" applyNumberFormat="1" applyFont="1" applyFill="1" applyBorder="1" applyAlignment="1">
      <alignment horizontal="right"/>
    </xf>
    <xf numFmtId="0" fontId="5" fillId="12" borderId="0" xfId="0" applyFont="1" applyFill="1"/>
    <xf numFmtId="0" fontId="20" fillId="0" borderId="58" xfId="0" applyFont="1" applyBorder="1" applyAlignment="1">
      <alignment horizontal="center"/>
    </xf>
    <xf numFmtId="0" fontId="3" fillId="12" borderId="1" xfId="2" applyFill="1" applyBorder="1" applyAlignment="1" applyProtection="1">
      <alignment wrapText="1"/>
    </xf>
    <xf numFmtId="166" fontId="11" fillId="8" borderId="16" xfId="0" applyNumberFormat="1" applyFont="1" applyFill="1" applyBorder="1" applyAlignment="1">
      <alignment horizontal="right"/>
    </xf>
    <xf numFmtId="0" fontId="12" fillId="0" borderId="0" xfId="3" applyAlignment="1" applyProtection="1"/>
    <xf numFmtId="168" fontId="5" fillId="12" borderId="25" xfId="0" applyNumberFormat="1" applyFont="1" applyFill="1" applyBorder="1"/>
    <xf numFmtId="166" fontId="5" fillId="0" borderId="32" xfId="0" applyNumberFormat="1" applyFont="1" applyBorder="1"/>
    <xf numFmtId="168" fontId="5" fillId="0" borderId="32" xfId="0" applyNumberFormat="1" applyFont="1" applyBorder="1"/>
    <xf numFmtId="166" fontId="11" fillId="0" borderId="32" xfId="0" applyNumberFormat="1" applyFont="1" applyBorder="1"/>
    <xf numFmtId="166" fontId="11" fillId="0" borderId="32" xfId="0" applyNumberFormat="1" applyFont="1" applyBorder="1" applyAlignment="1">
      <alignment horizontal="right"/>
    </xf>
    <xf numFmtId="168" fontId="5" fillId="0" borderId="33" xfId="0" applyNumberFormat="1" applyFont="1" applyBorder="1"/>
    <xf numFmtId="0" fontId="3" fillId="0" borderId="0" xfId="2" applyBorder="1" applyAlignment="1" applyProtection="1"/>
    <xf numFmtId="0" fontId="5" fillId="12" borderId="91" xfId="0" applyFont="1" applyFill="1" applyBorder="1"/>
    <xf numFmtId="0" fontId="5" fillId="12" borderId="47" xfId="0" applyFont="1" applyFill="1" applyBorder="1" applyAlignment="1">
      <alignment wrapText="1"/>
    </xf>
    <xf numFmtId="0" fontId="5" fillId="12" borderId="25" xfId="0" applyFont="1" applyFill="1" applyBorder="1"/>
    <xf numFmtId="0" fontId="5" fillId="12" borderId="16" xfId="0" applyFont="1" applyFill="1" applyBorder="1"/>
    <xf numFmtId="0" fontId="12" fillId="0" borderId="0" xfId="3" applyFill="1" applyBorder="1" applyAlignment="1" applyProtection="1"/>
    <xf numFmtId="0" fontId="5" fillId="0" borderId="91" xfId="0" applyFont="1" applyBorder="1"/>
    <xf numFmtId="166" fontId="5" fillId="0" borderId="6" xfId="0" applyNumberFormat="1" applyFont="1" applyBorder="1"/>
    <xf numFmtId="168" fontId="5" fillId="0" borderId="6" xfId="0" applyNumberFormat="1" applyFont="1" applyBorder="1"/>
    <xf numFmtId="166" fontId="11" fillId="0" borderId="6" xfId="0" applyNumberFormat="1" applyFont="1" applyBorder="1"/>
    <xf numFmtId="166" fontId="11" fillId="0" borderId="6" xfId="0" applyNumberFormat="1" applyFont="1" applyBorder="1" applyAlignment="1">
      <alignment horizontal="right"/>
    </xf>
    <xf numFmtId="168" fontId="5" fillId="0" borderId="25" xfId="0" applyNumberFormat="1" applyFont="1" applyBorder="1"/>
    <xf numFmtId="0" fontId="5" fillId="12" borderId="0" xfId="0" applyFont="1" applyFill="1" applyAlignment="1">
      <alignment wrapText="1"/>
    </xf>
    <xf numFmtId="166" fontId="5" fillId="2" borderId="6" xfId="0" applyNumberFormat="1" applyFont="1" applyFill="1" applyBorder="1"/>
    <xf numFmtId="168" fontId="5" fillId="12" borderId="6" xfId="0" applyNumberFormat="1" applyFont="1" applyFill="1" applyBorder="1"/>
    <xf numFmtId="166" fontId="11" fillId="2" borderId="6" xfId="0" applyNumberFormat="1" applyFont="1" applyFill="1" applyBorder="1"/>
    <xf numFmtId="166" fontId="11" fillId="2" borderId="6" xfId="0" applyNumberFormat="1" applyFont="1" applyFill="1" applyBorder="1" applyAlignment="1">
      <alignment horizontal="right"/>
    </xf>
    <xf numFmtId="166" fontId="11" fillId="8" borderId="6" xfId="0" applyNumberFormat="1" applyFont="1" applyFill="1" applyBorder="1" applyAlignment="1">
      <alignment horizontal="right"/>
    </xf>
    <xf numFmtId="0" fontId="13" fillId="0" borderId="0" xfId="3" applyFont="1" applyFill="1" applyBorder="1" applyAlignment="1" applyProtection="1">
      <alignment wrapText="1"/>
    </xf>
    <xf numFmtId="166" fontId="5" fillId="0" borderId="2" xfId="0" applyNumberFormat="1" applyFont="1" applyBorder="1"/>
    <xf numFmtId="168" fontId="5" fillId="0" borderId="2" xfId="0" applyNumberFormat="1" applyFont="1" applyBorder="1"/>
    <xf numFmtId="166" fontId="11" fillId="0" borderId="2" xfId="0" applyNumberFormat="1" applyFont="1" applyBorder="1"/>
    <xf numFmtId="166" fontId="11" fillId="0" borderId="2" xfId="0" applyNumberFormat="1" applyFont="1" applyBorder="1" applyAlignment="1">
      <alignment horizontal="right"/>
    </xf>
    <xf numFmtId="0" fontId="5" fillId="0" borderId="58" xfId="0" applyFont="1" applyBorder="1" applyAlignment="1">
      <alignment horizontal="right"/>
    </xf>
    <xf numFmtId="0" fontId="3" fillId="0" borderId="2" xfId="2" applyBorder="1" applyAlignment="1" applyProtection="1"/>
    <xf numFmtId="0" fontId="5" fillId="12" borderId="92" xfId="0" applyFont="1" applyFill="1" applyBorder="1" applyAlignment="1">
      <alignment wrapText="1"/>
    </xf>
    <xf numFmtId="168" fontId="5" fillId="12" borderId="16" xfId="0" applyNumberFormat="1" applyFont="1" applyFill="1" applyBorder="1" applyAlignment="1">
      <alignment horizontal="center"/>
    </xf>
    <xf numFmtId="168" fontId="5" fillId="12" borderId="16" xfId="0" applyNumberFormat="1" applyFont="1" applyFill="1" applyBorder="1" applyAlignment="1">
      <alignment horizontal="right"/>
    </xf>
    <xf numFmtId="0" fontId="12" fillId="0" borderId="47" xfId="3" applyFill="1" applyBorder="1" applyAlignment="1" applyProtection="1"/>
    <xf numFmtId="0" fontId="3" fillId="3" borderId="47" xfId="2" applyFill="1" applyBorder="1" applyAlignment="1" applyProtection="1"/>
    <xf numFmtId="0" fontId="5" fillId="12" borderId="93" xfId="0" applyFont="1" applyFill="1" applyBorder="1"/>
    <xf numFmtId="0" fontId="12" fillId="0" borderId="0" xfId="3" applyFill="1" applyAlignment="1" applyProtection="1"/>
    <xf numFmtId="6" fontId="5" fillId="0" borderId="0" xfId="0" applyNumberFormat="1" applyFont="1"/>
    <xf numFmtId="6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6" fontId="5" fillId="0" borderId="47" xfId="0" applyNumberFormat="1" applyFont="1" applyBorder="1"/>
    <xf numFmtId="0" fontId="5" fillId="2" borderId="16" xfId="0" applyFont="1" applyFill="1" applyBorder="1"/>
    <xf numFmtId="0" fontId="11" fillId="2" borderId="25" xfId="0" applyFont="1" applyFill="1" applyBorder="1"/>
    <xf numFmtId="6" fontId="5" fillId="12" borderId="16" xfId="0" applyNumberFormat="1" applyFont="1" applyFill="1" applyBorder="1"/>
    <xf numFmtId="0" fontId="11" fillId="2" borderId="16" xfId="0" applyFont="1" applyFill="1" applyBorder="1" applyAlignment="1">
      <alignment horizontal="right"/>
    </xf>
    <xf numFmtId="0" fontId="11" fillId="8" borderId="16" xfId="0" applyFont="1" applyFill="1" applyBorder="1" applyAlignment="1">
      <alignment horizontal="right"/>
    </xf>
    <xf numFmtId="0" fontId="5" fillId="0" borderId="47" xfId="0" applyFont="1" applyBorder="1"/>
    <xf numFmtId="0" fontId="4" fillId="0" borderId="84" xfId="0" applyFont="1" applyBorder="1" applyAlignment="1">
      <alignment horizontal="center"/>
    </xf>
    <xf numFmtId="0" fontId="0" fillId="0" borderId="84" xfId="0" applyBorder="1"/>
    <xf numFmtId="0" fontId="4" fillId="0" borderId="85" xfId="0" applyFont="1" applyBorder="1" applyAlignment="1">
      <alignment horizontal="right"/>
    </xf>
    <xf numFmtId="0" fontId="5" fillId="0" borderId="86" xfId="0" applyFont="1" applyBorder="1"/>
    <xf numFmtId="0" fontId="5" fillId="0" borderId="94" xfId="0" applyFont="1" applyBorder="1" applyAlignment="1">
      <alignment wrapText="1"/>
    </xf>
    <xf numFmtId="0" fontId="20" fillId="0" borderId="95" xfId="0" applyFont="1" applyBorder="1" applyAlignment="1">
      <alignment horizontal="center"/>
    </xf>
    <xf numFmtId="0" fontId="5" fillId="0" borderId="95" xfId="0" applyFont="1" applyBorder="1" applyAlignment="1">
      <alignment wrapText="1"/>
    </xf>
    <xf numFmtId="0" fontId="11" fillId="12" borderId="5" xfId="3" applyFont="1" applyFill="1" applyBorder="1" applyAlignment="1" applyProtection="1">
      <alignment wrapText="1"/>
    </xf>
    <xf numFmtId="0" fontId="5" fillId="12" borderId="16" xfId="0" applyFont="1" applyFill="1" applyBorder="1" applyAlignment="1">
      <alignment wrapText="1"/>
    </xf>
    <xf numFmtId="167" fontId="5" fillId="12" borderId="16" xfId="0" applyNumberFormat="1" applyFont="1" applyFill="1" applyBorder="1"/>
    <xf numFmtId="0" fontId="5" fillId="0" borderId="5" xfId="0" applyFont="1" applyBorder="1" applyAlignment="1">
      <alignment wrapText="1"/>
    </xf>
    <xf numFmtId="0" fontId="5" fillId="0" borderId="16" xfId="0" applyFont="1" applyBorder="1"/>
    <xf numFmtId="167" fontId="5" fillId="0" borderId="16" xfId="0" applyNumberFormat="1" applyFont="1" applyBorder="1"/>
    <xf numFmtId="0" fontId="13" fillId="12" borderId="5" xfId="3" applyFont="1" applyFill="1" applyBorder="1" applyAlignment="1" applyProtection="1">
      <alignment wrapText="1"/>
    </xf>
    <xf numFmtId="0" fontId="12" fillId="0" borderId="1" xfId="3" applyFill="1" applyBorder="1" applyAlignment="1" applyProtection="1">
      <alignment wrapText="1"/>
    </xf>
    <xf numFmtId="168" fontId="5" fillId="12" borderId="16" xfId="1" applyNumberFormat="1" applyFont="1" applyFill="1" applyBorder="1"/>
    <xf numFmtId="168" fontId="5" fillId="0" borderId="16" xfId="1" applyNumberFormat="1" applyFont="1" applyFill="1" applyBorder="1"/>
    <xf numFmtId="0" fontId="5" fillId="3" borderId="16" xfId="0" applyFont="1" applyFill="1" applyBorder="1"/>
    <xf numFmtId="0" fontId="3" fillId="7" borderId="1" xfId="2" applyFill="1" applyBorder="1" applyAlignment="1" applyProtection="1">
      <alignment wrapText="1"/>
    </xf>
    <xf numFmtId="0" fontId="5" fillId="7" borderId="16" xfId="0" applyFont="1" applyFill="1" applyBorder="1"/>
    <xf numFmtId="0" fontId="5" fillId="7" borderId="16" xfId="0" applyFont="1" applyFill="1" applyBorder="1" applyAlignment="1">
      <alignment wrapText="1"/>
    </xf>
    <xf numFmtId="166" fontId="11" fillId="7" borderId="25" xfId="0" applyNumberFormat="1" applyFont="1" applyFill="1" applyBorder="1"/>
    <xf numFmtId="167" fontId="5" fillId="7" borderId="16" xfId="0" applyNumberFormat="1" applyFont="1" applyFill="1" applyBorder="1"/>
    <xf numFmtId="168" fontId="5" fillId="7" borderId="16" xfId="0" applyNumberFormat="1" applyFont="1" applyFill="1" applyBorder="1"/>
    <xf numFmtId="166" fontId="11" fillId="7" borderId="16" xfId="0" applyNumberFormat="1" applyFont="1" applyFill="1" applyBorder="1" applyAlignment="1">
      <alignment horizontal="right"/>
    </xf>
    <xf numFmtId="168" fontId="5" fillId="7" borderId="16" xfId="1" applyNumberFormat="1" applyFont="1" applyFill="1" applyBorder="1"/>
    <xf numFmtId="166" fontId="5" fillId="7" borderId="16" xfId="0" applyNumberFormat="1" applyFont="1" applyFill="1" applyBorder="1" applyAlignment="1">
      <alignment horizontal="right"/>
    </xf>
    <xf numFmtId="166" fontId="5" fillId="7" borderId="16" xfId="0" applyNumberFormat="1" applyFont="1" applyFill="1" applyBorder="1"/>
    <xf numFmtId="0" fontId="21" fillId="3" borderId="1" xfId="2" applyFont="1" applyFill="1" applyBorder="1" applyAlignment="1" applyProtection="1">
      <alignment wrapText="1"/>
    </xf>
    <xf numFmtId="0" fontId="5" fillId="9" borderId="0" xfId="0" applyFont="1" applyFill="1"/>
    <xf numFmtId="0" fontId="12" fillId="0" borderId="5" xfId="3" applyFill="1" applyBorder="1" applyAlignment="1" applyProtection="1">
      <alignment wrapText="1"/>
    </xf>
    <xf numFmtId="0" fontId="13" fillId="0" borderId="5" xfId="3" applyFont="1" applyFill="1" applyBorder="1" applyAlignment="1" applyProtection="1">
      <alignment wrapText="1"/>
    </xf>
    <xf numFmtId="0" fontId="5" fillId="10" borderId="16" xfId="0" applyFont="1" applyFill="1" applyBorder="1" applyAlignment="1">
      <alignment wrapText="1"/>
    </xf>
    <xf numFmtId="0" fontId="5" fillId="0" borderId="96" xfId="0" applyFont="1" applyBorder="1" applyAlignment="1">
      <alignment wrapText="1"/>
    </xf>
    <xf numFmtId="0" fontId="5" fillId="0" borderId="32" xfId="0" applyFont="1" applyBorder="1"/>
    <xf numFmtId="166" fontId="5" fillId="0" borderId="33" xfId="0" applyNumberFormat="1" applyFont="1" applyBorder="1"/>
    <xf numFmtId="167" fontId="5" fillId="0" borderId="32" xfId="0" applyNumberFormat="1" applyFont="1" applyBorder="1"/>
    <xf numFmtId="166" fontId="5" fillId="0" borderId="32" xfId="0" applyNumberFormat="1" applyFont="1" applyBorder="1" applyAlignment="1">
      <alignment horizontal="right"/>
    </xf>
    <xf numFmtId="0" fontId="5" fillId="0" borderId="90" xfId="0" applyFont="1" applyBorder="1" applyAlignment="1">
      <alignment wrapText="1"/>
    </xf>
    <xf numFmtId="0" fontId="20" fillId="0" borderId="97" xfId="0" applyFont="1" applyBorder="1" applyAlignment="1">
      <alignment horizontal="center"/>
    </xf>
    <xf numFmtId="0" fontId="5" fillId="0" borderId="97" xfId="0" applyFont="1" applyBorder="1" applyAlignment="1">
      <alignment wrapText="1"/>
    </xf>
    <xf numFmtId="166" fontId="5" fillId="0" borderId="98" xfId="0" applyNumberFormat="1" applyFont="1" applyBorder="1"/>
    <xf numFmtId="167" fontId="5" fillId="0" borderId="97" xfId="0" applyNumberFormat="1" applyFont="1" applyBorder="1"/>
    <xf numFmtId="168" fontId="5" fillId="0" borderId="97" xfId="0" applyNumberFormat="1" applyFont="1" applyBorder="1"/>
    <xf numFmtId="166" fontId="5" fillId="0" borderId="97" xfId="0" applyNumberFormat="1" applyFont="1" applyBorder="1" applyAlignment="1">
      <alignment horizontal="right"/>
    </xf>
    <xf numFmtId="166" fontId="5" fillId="0" borderId="97" xfId="0" applyNumberFormat="1" applyFont="1" applyBorder="1"/>
    <xf numFmtId="0" fontId="22" fillId="12" borderId="5" xfId="3" applyFont="1" applyFill="1" applyBorder="1" applyAlignment="1" applyProtection="1">
      <alignment wrapText="1"/>
    </xf>
    <xf numFmtId="0" fontId="20" fillId="0" borderId="16" xfId="0" applyFont="1" applyBorder="1" applyAlignment="1">
      <alignment horizontal="center"/>
    </xf>
    <xf numFmtId="166" fontId="5" fillId="2" borderId="25" xfId="0" applyNumberFormat="1" applyFont="1" applyFill="1" applyBorder="1"/>
    <xf numFmtId="0" fontId="23" fillId="12" borderId="5" xfId="3" applyFont="1" applyFill="1" applyBorder="1" applyAlignment="1" applyProtection="1">
      <alignment wrapText="1"/>
    </xf>
    <xf numFmtId="0" fontId="23" fillId="0" borderId="5" xfId="3" applyFont="1" applyFill="1" applyBorder="1" applyAlignment="1" applyProtection="1">
      <alignment wrapText="1"/>
    </xf>
    <xf numFmtId="0" fontId="11" fillId="10" borderId="5" xfId="0" applyFont="1" applyFill="1" applyBorder="1" applyAlignment="1">
      <alignment wrapText="1"/>
    </xf>
    <xf numFmtId="0" fontId="5" fillId="10" borderId="16" xfId="0" applyFont="1" applyFill="1" applyBorder="1"/>
    <xf numFmtId="166" fontId="11" fillId="10" borderId="25" xfId="0" applyNumberFormat="1" applyFont="1" applyFill="1" applyBorder="1"/>
    <xf numFmtId="167" fontId="5" fillId="10" borderId="16" xfId="0" applyNumberFormat="1" applyFont="1" applyFill="1" applyBorder="1"/>
    <xf numFmtId="166" fontId="5" fillId="10" borderId="25" xfId="0" applyNumberFormat="1" applyFont="1" applyFill="1" applyBorder="1"/>
    <xf numFmtId="166" fontId="5" fillId="10" borderId="16" xfId="0" applyNumberFormat="1" applyFont="1" applyFill="1" applyBorder="1" applyAlignment="1">
      <alignment horizontal="right"/>
    </xf>
    <xf numFmtId="166" fontId="5" fillId="10" borderId="16" xfId="0" applyNumberFormat="1" applyFont="1" applyFill="1" applyBorder="1"/>
    <xf numFmtId="0" fontId="5" fillId="10" borderId="0" xfId="0" applyFont="1" applyFill="1"/>
    <xf numFmtId="0" fontId="3" fillId="10" borderId="0" xfId="2" applyFill="1"/>
    <xf numFmtId="0" fontId="4" fillId="0" borderId="5" xfId="0" applyFont="1" applyBorder="1" applyAlignment="1">
      <alignment wrapText="1"/>
    </xf>
    <xf numFmtId="0" fontId="4" fillId="0" borderId="16" xfId="0" applyFont="1" applyBorder="1"/>
    <xf numFmtId="0" fontId="4" fillId="0" borderId="16" xfId="0" applyFont="1" applyBorder="1" applyAlignment="1">
      <alignment wrapText="1"/>
    </xf>
    <xf numFmtId="0" fontId="4" fillId="0" borderId="87" xfId="0" applyFont="1" applyBorder="1" applyAlignment="1">
      <alignment horizontal="center" wrapText="1"/>
    </xf>
    <xf numFmtId="0" fontId="4" fillId="0" borderId="86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88" xfId="0" applyFont="1" applyBorder="1" applyAlignment="1">
      <alignment horizontal="right"/>
    </xf>
    <xf numFmtId="0" fontId="4" fillId="0" borderId="99" xfId="0" applyFont="1" applyBorder="1" applyAlignment="1">
      <alignment horizontal="center"/>
    </xf>
    <xf numFmtId="0" fontId="4" fillId="0" borderId="88" xfId="0" applyFont="1" applyBorder="1"/>
    <xf numFmtId="0" fontId="4" fillId="0" borderId="100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168" fontId="4" fillId="10" borderId="25" xfId="0" applyNumberFormat="1" applyFont="1" applyFill="1" applyBorder="1" applyAlignment="1">
      <alignment horizontal="center"/>
    </xf>
    <xf numFmtId="168" fontId="4" fillId="0" borderId="25" xfId="0" applyNumberFormat="1" applyFont="1" applyBorder="1" applyAlignment="1">
      <alignment horizontal="center"/>
    </xf>
    <xf numFmtId="0" fontId="12" fillId="10" borderId="0" xfId="3" applyFill="1" applyAlignment="1" applyProtection="1"/>
    <xf numFmtId="168" fontId="5" fillId="10" borderId="25" xfId="0" applyNumberFormat="1" applyFont="1" applyFill="1" applyBorder="1" applyAlignment="1">
      <alignment horizontal="center"/>
    </xf>
    <xf numFmtId="166" fontId="5" fillId="8" borderId="16" xfId="0" applyNumberFormat="1" applyFont="1" applyFill="1" applyBorder="1"/>
    <xf numFmtId="168" fontId="5" fillId="10" borderId="25" xfId="1" applyNumberFormat="1" applyFont="1" applyFill="1" applyBorder="1" applyAlignment="1">
      <alignment horizontal="center"/>
    </xf>
    <xf numFmtId="168" fontId="5" fillId="0" borderId="25" xfId="0" applyNumberFormat="1" applyFont="1" applyBorder="1" applyAlignment="1">
      <alignment horizontal="center"/>
    </xf>
    <xf numFmtId="166" fontId="11" fillId="2" borderId="16" xfId="0" applyNumberFormat="1" applyFont="1" applyFill="1" applyBorder="1" applyAlignment="1">
      <alignment horizontal="center"/>
    </xf>
    <xf numFmtId="165" fontId="5" fillId="10" borderId="16" xfId="0" applyNumberFormat="1" applyFont="1" applyFill="1" applyBorder="1"/>
    <xf numFmtId="166" fontId="11" fillId="0" borderId="16" xfId="0" applyNumberFormat="1" applyFont="1" applyBorder="1" applyAlignment="1">
      <alignment horizontal="center"/>
    </xf>
    <xf numFmtId="165" fontId="5" fillId="0" borderId="16" xfId="0" applyNumberFormat="1" applyFont="1" applyBorder="1"/>
    <xf numFmtId="165" fontId="5" fillId="0" borderId="0" xfId="0" applyNumberFormat="1" applyFont="1" applyAlignment="1">
      <alignment horizontal="center"/>
    </xf>
    <xf numFmtId="165" fontId="5" fillId="0" borderId="0" xfId="0" applyNumberFormat="1" applyFont="1"/>
    <xf numFmtId="0" fontId="20" fillId="0" borderId="16" xfId="0" applyFont="1" applyBorder="1" applyAlignment="1">
      <alignment horizontal="center" vertical="center"/>
    </xf>
    <xf numFmtId="0" fontId="4" fillId="0" borderId="96" xfId="0" applyFont="1" applyBorder="1" applyAlignment="1">
      <alignment wrapText="1"/>
    </xf>
    <xf numFmtId="0" fontId="4" fillId="0" borderId="32" xfId="0" applyFont="1" applyBorder="1"/>
    <xf numFmtId="0" fontId="4" fillId="0" borderId="32" xfId="0" applyFont="1" applyBorder="1" applyAlignment="1">
      <alignment wrapText="1"/>
    </xf>
    <xf numFmtId="0" fontId="4" fillId="0" borderId="101" xfId="0" applyFont="1" applyBorder="1" applyAlignment="1">
      <alignment horizontal="center"/>
    </xf>
    <xf numFmtId="0" fontId="4" fillId="0" borderId="102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4" fillId="0" borderId="94" xfId="0" applyFont="1" applyBorder="1" applyAlignment="1">
      <alignment horizontal="right"/>
    </xf>
    <xf numFmtId="0" fontId="4" fillId="0" borderId="103" xfId="0" applyFont="1" applyBorder="1" applyAlignment="1">
      <alignment horizontal="center"/>
    </xf>
    <xf numFmtId="0" fontId="5" fillId="0" borderId="65" xfId="0" applyFont="1" applyBorder="1"/>
    <xf numFmtId="0" fontId="5" fillId="12" borderId="104" xfId="0" applyFont="1" applyFill="1" applyBorder="1"/>
    <xf numFmtId="0" fontId="5" fillId="12" borderId="104" xfId="0" applyFont="1" applyFill="1" applyBorder="1" applyAlignment="1">
      <alignment wrapText="1"/>
    </xf>
    <xf numFmtId="166" fontId="11" fillId="2" borderId="105" xfId="0" applyNumberFormat="1" applyFont="1" applyFill="1" applyBorder="1"/>
    <xf numFmtId="168" fontId="5" fillId="12" borderId="104" xfId="0" applyNumberFormat="1" applyFont="1" applyFill="1" applyBorder="1"/>
    <xf numFmtId="166" fontId="11" fillId="2" borderId="104" xfId="0" applyNumberFormat="1" applyFont="1" applyFill="1" applyBorder="1"/>
    <xf numFmtId="166" fontId="11" fillId="2" borderId="104" xfId="0" applyNumberFormat="1" applyFont="1" applyFill="1" applyBorder="1" applyAlignment="1">
      <alignment horizontal="right"/>
    </xf>
  </cellXfs>
  <cellStyles count="4">
    <cellStyle name="Currency" xfId="1" builtinId="4"/>
    <cellStyle name="Hyperlink" xfId="2" builtinId="8"/>
    <cellStyle name="Hyperlink 2" xfId="3" xr:uid="{BF50F33D-C066-454A-A9C1-A322541E9BB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Di%20and%20Elise\Roman%20and%20Non%20Roman%20NGC%20List.xlsm" TargetMode="External"/><Relationship Id="rId1" Type="http://schemas.openxmlformats.org/officeDocument/2006/relationships/externalLinkPath" Target="file:///G:\Di%20and%20Elise\Roman%20and%20Non%20Roman%20NGC%20Li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lab_lookup"/>
      <sheetName val="qryExcelSlab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educationalcoin.com/product-category/ancient-historical/ngc-certified-slabs/?_ruler_for_landing_page=probus" TargetMode="External"/><Relationship Id="rId117" Type="http://schemas.openxmlformats.org/officeDocument/2006/relationships/hyperlink" Target="https://www.educationalcoin.com/product-category/ancient-historical/ngc-certified-slabs/?_ruler_for_landing_page=pontius-pilate" TargetMode="External"/><Relationship Id="rId21" Type="http://schemas.openxmlformats.org/officeDocument/2006/relationships/hyperlink" Target="https://www.educationalcoin.com/product-category/ancient-historical/ngc-certified-slabs/?_subcategory=south-petherton" TargetMode="External"/><Relationship Id="rId42" Type="http://schemas.openxmlformats.org/officeDocument/2006/relationships/hyperlink" Target="https://www.educationalcoin.com/product-category/ancient-historical/ngc-certified-slabs/?_ruler_for_landing_page=delmatius" TargetMode="External"/><Relationship Id="rId47" Type="http://schemas.openxmlformats.org/officeDocument/2006/relationships/hyperlink" Target="https://www.educationalcoin.com/product-category/ancient-historical/ngc-certified-slabs/?_ruler_for_landing_page=trebonianus-gallus" TargetMode="External"/><Relationship Id="rId63" Type="http://schemas.openxmlformats.org/officeDocument/2006/relationships/hyperlink" Target="https://www.educationalcoin.com/product-category/ancient-historical/ngc-certified-slabs/?_ruler_for_landing_page=galerius" TargetMode="External"/><Relationship Id="rId68" Type="http://schemas.openxmlformats.org/officeDocument/2006/relationships/hyperlink" Target="https://www.educationalcoin.com/product-category/ancient-historical/ngc-certified-slabs/?_ruler_for_landing_page=maximinus-i" TargetMode="External"/><Relationship Id="rId84" Type="http://schemas.openxmlformats.org/officeDocument/2006/relationships/hyperlink" Target="https://www.educationalcoin.com/product-category/ancient-historical/ngc-certified-slabs/?_ruler_for_landing_page=d6f4694dbc1c5ca1e65521862ed1bcee" TargetMode="External"/><Relationship Id="rId89" Type="http://schemas.openxmlformats.org/officeDocument/2006/relationships/hyperlink" Target="https://www.educationalcoin.com/ancient-coins/ngc-certified-slabs.html?ruler=1431" TargetMode="External"/><Relationship Id="rId112" Type="http://schemas.openxmlformats.org/officeDocument/2006/relationships/hyperlink" Target="https://www.educationalcoin.com/khusru-ii-the-true-cross-ngc-slab.html" TargetMode="External"/><Relationship Id="rId133" Type="http://schemas.openxmlformats.org/officeDocument/2006/relationships/hyperlink" Target="https://www.educationalcoin.com/product-category/ancient-historical/ngc-certified-slabs/?_ruler_for_landing_page=crispina" TargetMode="External"/><Relationship Id="rId138" Type="http://schemas.openxmlformats.org/officeDocument/2006/relationships/hyperlink" Target="https://www.educationalcoin.com/east-india-company-1-4-anna-ngc-slab.html" TargetMode="External"/><Relationship Id="rId154" Type="http://schemas.openxmlformats.org/officeDocument/2006/relationships/hyperlink" Target="https://www.educationalcoin.com/product-category/ancient-historical/ngc-certified-slabs/?_ruler_for_landing_page=Vetranio" TargetMode="External"/><Relationship Id="rId159" Type="http://schemas.openxmlformats.org/officeDocument/2006/relationships/hyperlink" Target="https://www.educationalcoin.com/product-category/ancient-historical/ngc-certified-slabs/?_ruler_for_landing_page=procopius" TargetMode="External"/><Relationship Id="rId175" Type="http://schemas.openxmlformats.org/officeDocument/2006/relationships/hyperlink" Target="https://www.educationalcoin.com/product-category/ancient-historical/ngc-certified-slabs/?_ruler_for_landing_page=maccabean" TargetMode="External"/><Relationship Id="rId170" Type="http://schemas.openxmlformats.org/officeDocument/2006/relationships/hyperlink" Target="https://www.educationalcoin.com/product/mysia-1st-2nd-centuries-bce-pergamum-region-ng/" TargetMode="External"/><Relationship Id="rId16" Type="http://schemas.openxmlformats.org/officeDocument/2006/relationships/hyperlink" Target="https://www.educationalcoin.com/product-category/ancient-historical/ngc-certified-slabs/?_ruler_for_landing_page=maximian" TargetMode="External"/><Relationship Id="rId107" Type="http://schemas.openxmlformats.org/officeDocument/2006/relationships/hyperlink" Target="https://www.educationalcoin.com/catalogsearch/result/?q=alexander+the+great+tetradrachm" TargetMode="External"/><Relationship Id="rId11" Type="http://schemas.openxmlformats.org/officeDocument/2006/relationships/hyperlink" Target="https://www.educationalcoin.com/product-category/ancient-historical/ngc-certified-slabs/?_ruler_for_landing_page=constantinopolis" TargetMode="External"/><Relationship Id="rId32" Type="http://schemas.openxmlformats.org/officeDocument/2006/relationships/hyperlink" Target="https://www.educationalcoin.com/product-category/ancient-historical/ngc-certified-slabs/?_ruler_for_landing_page=faustina-sr" TargetMode="External"/><Relationship Id="rId37" Type="http://schemas.openxmlformats.org/officeDocument/2006/relationships/hyperlink" Target="https://www.educationalcoin.com/product-category/ancient-historical/ngc-certified-slabs/?_ruler_for_landing_page=severus-alexander" TargetMode="External"/><Relationship Id="rId53" Type="http://schemas.openxmlformats.org/officeDocument/2006/relationships/hyperlink" Target="https://www.educationalcoin.com/product-category/ancient-historical/ngc-certified-slabs/?_ruler_for_landing_page=arcadius" TargetMode="External"/><Relationship Id="rId58" Type="http://schemas.openxmlformats.org/officeDocument/2006/relationships/hyperlink" Target="https://www.educationalcoin.com/product-category/ancient-historical/ngc-certified-slabs/?_ruler_for_landing_page=maximinus-ii" TargetMode="External"/><Relationship Id="rId74" Type="http://schemas.openxmlformats.org/officeDocument/2006/relationships/hyperlink" Target="https://www.educationalcoin.com/product-category/ancient-historical/ngc-certified-slabs/?_ruler_for_landing_page=faustina-jr" TargetMode="External"/><Relationship Id="rId79" Type="http://schemas.openxmlformats.org/officeDocument/2006/relationships/hyperlink" Target="https://www.educationalcoin.com/product-category/ancient-historical/ngc-certified-slabs/?_ruler_for_landing_page=decentius" TargetMode="External"/><Relationship Id="rId102" Type="http://schemas.openxmlformats.org/officeDocument/2006/relationships/hyperlink" Target="https://www.educationalcoin.com/pontus-amisus-under-mithradates-ngc-slab.html" TargetMode="External"/><Relationship Id="rId123" Type="http://schemas.openxmlformats.org/officeDocument/2006/relationships/hyperlink" Target="https://www.educationalcoin.com/crusades-bohemond-ngc.html" TargetMode="External"/><Relationship Id="rId128" Type="http://schemas.openxmlformats.org/officeDocument/2006/relationships/hyperlink" Target="https://www.educationalcoin.com/product-category/ancient-historical/ngc-certified-slabs/?_ruler_for_landing_page=severus-ii" TargetMode="External"/><Relationship Id="rId144" Type="http://schemas.openxmlformats.org/officeDocument/2006/relationships/hyperlink" Target="https://www.educationalcoin.com/product-category/ancient-historical/ngc-certified-slabs/?_ruler_for_landing_page=helena" TargetMode="External"/><Relationship Id="rId149" Type="http://schemas.openxmlformats.org/officeDocument/2006/relationships/hyperlink" Target="https://www.educationalcoin.com/product-category/ancient-historical/ngc-certified-slabs/?_ruler_for_landing_page=valentinian-ii" TargetMode="External"/><Relationship Id="rId5" Type="http://schemas.openxmlformats.org/officeDocument/2006/relationships/hyperlink" Target="https://www.educationalcoin.com/product-category/ancient-historical/ngc-certified-slabs/?_ruler_for_landing_page=licinius-ii" TargetMode="External"/><Relationship Id="rId90" Type="http://schemas.openxmlformats.org/officeDocument/2006/relationships/hyperlink" Target="https://www.educationalcoin.com/product-category/ancient-historical/ngc-certified-slabs/?_ruler_for_landing_page=valerian-i" TargetMode="External"/><Relationship Id="rId95" Type="http://schemas.openxmlformats.org/officeDocument/2006/relationships/hyperlink" Target="https://www.educationalcoin.com/ancient-coins/ngc-certified-slabs.html?subcategory=1709" TargetMode="External"/><Relationship Id="rId160" Type="http://schemas.openxmlformats.org/officeDocument/2006/relationships/hyperlink" Target="https://www.educationalcoin.com/product-category/ancient-historical/ngc-certified-slabs/?_ruler_for_landing_page=geta" TargetMode="External"/><Relationship Id="rId165" Type="http://schemas.openxmlformats.org/officeDocument/2006/relationships/hyperlink" Target="https://www.educationalcoin.com/product-category/ancient-historical/ngc-certified-slabs/?_subcategory=south-petherton" TargetMode="External"/><Relationship Id="rId181" Type="http://schemas.openxmlformats.org/officeDocument/2006/relationships/hyperlink" Target="https://www.educationalcoin.com/product-category/ancient-historical/ngc-certified-slabs/?_ruler_for_landing_page=" TargetMode="External"/><Relationship Id="rId186" Type="http://schemas.openxmlformats.org/officeDocument/2006/relationships/hyperlink" Target="https://www.educationalcoin.com/product/celtic-tribes-in-ancient-gaul-quinarius-ngc-slablg/" TargetMode="External"/><Relationship Id="rId22" Type="http://schemas.openxmlformats.org/officeDocument/2006/relationships/hyperlink" Target="https://www.educationalcoin.com/product-category/ancient-historical/ngc-certified-slabs/?_ruler_for_landing_page=aurelian" TargetMode="External"/><Relationship Id="rId27" Type="http://schemas.openxmlformats.org/officeDocument/2006/relationships/hyperlink" Target="https://www.educationalcoin.com/product-category/ancient-historical/ngc-certified-slabs/?_ruler_for_landing_page=salonina" TargetMode="External"/><Relationship Id="rId43" Type="http://schemas.openxmlformats.org/officeDocument/2006/relationships/hyperlink" Target="https://www.educationalcoin.com/product-category/ancient-historical/ngc-certified-slabs/?_ruler_for_landing_page=helena" TargetMode="External"/><Relationship Id="rId48" Type="http://schemas.openxmlformats.org/officeDocument/2006/relationships/hyperlink" Target="https://www.educationalcoin.com/product-category/ancient-historical/ngc-certified-slabs/?_ruler_for_landing_page=urbs-roma" TargetMode="External"/><Relationship Id="rId64" Type="http://schemas.openxmlformats.org/officeDocument/2006/relationships/hyperlink" Target="https://www.educationalcoin.com/product-category/ancient-historical/ngc-certified-slabs/?_ruler_for_landing_page=galerius" TargetMode="External"/><Relationship Id="rId69" Type="http://schemas.openxmlformats.org/officeDocument/2006/relationships/hyperlink" Target="https://www.educationalcoin.com/product-category/ancient-historical/ngc-certified-slabs/?_ruler_for_landing_page=otacilia-severa" TargetMode="External"/><Relationship Id="rId113" Type="http://schemas.openxmlformats.org/officeDocument/2006/relationships/hyperlink" Target="https://www.educationalcoin.com/-122546.html" TargetMode="External"/><Relationship Id="rId118" Type="http://schemas.openxmlformats.org/officeDocument/2006/relationships/hyperlink" Target="https://www.educationalcoin.com/valerius-gratus-roman-prefect-of-judaea-under-tiberius-15-26-ce-ngc-slab.html" TargetMode="External"/><Relationship Id="rId134" Type="http://schemas.openxmlformats.org/officeDocument/2006/relationships/hyperlink" Target="https://www.educationalcoin.com/product-category/ancient-historical/ngc-certified-slabs/?_ruler_for_landing_page=lucilla" TargetMode="External"/><Relationship Id="rId139" Type="http://schemas.openxmlformats.org/officeDocument/2006/relationships/hyperlink" Target="https://www.educationalcoin.com/product-category/ancient-historical/ngc-certified-slabs/?_ruler_for_landing_page=julia-maesa" TargetMode="External"/><Relationship Id="rId80" Type="http://schemas.openxmlformats.org/officeDocument/2006/relationships/hyperlink" Target="https://www.educationalcoin.com/product-category/ancient-historical/ngc-certified-slabs/?_ruler_for_landing_page=maxentius" TargetMode="External"/><Relationship Id="rId85" Type="http://schemas.openxmlformats.org/officeDocument/2006/relationships/hyperlink" Target="https://www.educationalcoin.com/product-category/ancient-historical/ngc-certified-slabs/?_ruler_for_landing_page=helena" TargetMode="External"/><Relationship Id="rId150" Type="http://schemas.openxmlformats.org/officeDocument/2006/relationships/hyperlink" Target="https://www.educationalcoin.com/product-category/ancient-historical/ngc-certified-slabs/?_subcategory=south-petherton" TargetMode="External"/><Relationship Id="rId155" Type="http://schemas.openxmlformats.org/officeDocument/2006/relationships/hyperlink" Target="https://www.educationalcoin.com/product/republic-of-venice-silver-grossong/" TargetMode="External"/><Relationship Id="rId171" Type="http://schemas.openxmlformats.org/officeDocument/2006/relationships/hyperlink" Target="https://www.educationalcoin.com/product-category/ancient-historical/ngc-certified-slabs/?_ruler_for_landing_page=herod-agrippa-1" TargetMode="External"/><Relationship Id="rId176" Type="http://schemas.openxmlformats.org/officeDocument/2006/relationships/hyperlink" Target="https://www.educationalcoin.com/product-category/ancient-historical/ngc-certified-slabs/?_ruler_for_landing_page=herod-archelaus" TargetMode="External"/><Relationship Id="rId12" Type="http://schemas.openxmlformats.org/officeDocument/2006/relationships/hyperlink" Target="https://www.educationalcoin.com/product-category/ancient-historical/ngc-certified-slabs/?_ruler_for_landing_page=diocletian" TargetMode="External"/><Relationship Id="rId17" Type="http://schemas.openxmlformats.org/officeDocument/2006/relationships/hyperlink" Target="https://www.educationalcoin.com/product-category/ancient-historical/ngc-certified-slabs/?_ruler_for_landing_page=maximinus-ii" TargetMode="External"/><Relationship Id="rId33" Type="http://schemas.openxmlformats.org/officeDocument/2006/relationships/hyperlink" Target="https://www.educationalcoin.com/ancient-coins/ngc-certified-slabs.html?ruler=1503" TargetMode="External"/><Relationship Id="rId38" Type="http://schemas.openxmlformats.org/officeDocument/2006/relationships/hyperlink" Target="https://www.educationalcoin.com/product-category/ancient-historical/ngc-certified-slabs/?_ruler_for_landing_page=gordian-iii" TargetMode="External"/><Relationship Id="rId59" Type="http://schemas.openxmlformats.org/officeDocument/2006/relationships/hyperlink" Target="https://www.educationalcoin.com/product-category/ancient-historical/ngc-certified-slabs/?_ruler_for_landing_page=Vetranio" TargetMode="External"/><Relationship Id="rId103" Type="http://schemas.openxmlformats.org/officeDocument/2006/relationships/hyperlink" Target="https://www.educationalcoin.com/contstans-ii-byzantine-ngc-certified-slab.html" TargetMode="External"/><Relationship Id="rId108" Type="http://schemas.openxmlformats.org/officeDocument/2006/relationships/hyperlink" Target="https://www.educationalcoin.com/catalogsearch/result/?q=eindkm320" TargetMode="External"/><Relationship Id="rId124" Type="http://schemas.openxmlformats.org/officeDocument/2006/relationships/hyperlink" Target="https://www.educationalcoin.com/crusades-hugh-ix-ngc.html" TargetMode="External"/><Relationship Id="rId129" Type="http://schemas.openxmlformats.org/officeDocument/2006/relationships/hyperlink" Target="https://www.educationalcoin.com/product-category/ancient-historical/ngc-certified-slabs/?_ruler_for_landing_page=8b8b4cbfb72ec942caa28ef5998cb929" TargetMode="External"/><Relationship Id="rId54" Type="http://schemas.openxmlformats.org/officeDocument/2006/relationships/hyperlink" Target="https://www.educationalcoin.com/product-category/ancient-historical/ngc-certified-slabs/?_ruler_for_landing_page=arcadius" TargetMode="External"/><Relationship Id="rId70" Type="http://schemas.openxmlformats.org/officeDocument/2006/relationships/hyperlink" Target="https://www.educationalcoin.com/product-category/ancient-historical/ngc-certified-slabs/?_ruler_for_landing_page=salonina" TargetMode="External"/><Relationship Id="rId75" Type="http://schemas.openxmlformats.org/officeDocument/2006/relationships/hyperlink" Target="https://www.educationalcoin.com/ancient-coins/ngc-certified-slabs.html?ruler=1678" TargetMode="External"/><Relationship Id="rId91" Type="http://schemas.openxmlformats.org/officeDocument/2006/relationships/hyperlink" Target="https://www.educationalcoin.com/?s=%22manus+Dei%22" TargetMode="External"/><Relationship Id="rId96" Type="http://schemas.openxmlformats.org/officeDocument/2006/relationships/hyperlink" Target="https://www.educationalcoin.com/ancient-coins/ngc-certified-slabs.html?subcategory=1709" TargetMode="External"/><Relationship Id="rId140" Type="http://schemas.openxmlformats.org/officeDocument/2006/relationships/hyperlink" Target="https://www.educationalcoin.com/product-category/ancient-historical/ngc-certified-slabs/?_subcategory=jovi" TargetMode="External"/><Relationship Id="rId145" Type="http://schemas.openxmlformats.org/officeDocument/2006/relationships/hyperlink" Target="https://www.educationalcoin.com/product-category/ancient-historical/ngc-certified-slabs/?_ruler_for_landing_page=aelia-flacilla" TargetMode="External"/><Relationship Id="rId161" Type="http://schemas.openxmlformats.org/officeDocument/2006/relationships/hyperlink" Target="https://www.educationalcoin.com/product-category/ancient-historical/ngc-certified-slabs/?_ruler_for_landing_page=julia-paula" TargetMode="External"/><Relationship Id="rId166" Type="http://schemas.openxmlformats.org/officeDocument/2006/relationships/hyperlink" Target="https://www.educationalcoin.com/product-category/ancient-historical/ngc-certified-slabs/?_subcategory=south-petherton" TargetMode="External"/><Relationship Id="rId182" Type="http://schemas.openxmlformats.org/officeDocument/2006/relationships/hyperlink" Target="https://www.educationalcoin.com/product/soter-mega-ngc-certified-slabng/" TargetMode="External"/><Relationship Id="rId187" Type="http://schemas.openxmlformats.org/officeDocument/2006/relationships/hyperlink" Target="https://www.educationalcoin.com/product/persis-hemidrachm-ngc-slabng/" TargetMode="External"/><Relationship Id="rId1" Type="http://schemas.openxmlformats.org/officeDocument/2006/relationships/hyperlink" Target="https://www.educationalcoin.com/product-category/ancient-historical/ngc-certified-slabs/?_ruler_for_landing_page=d6f4694dbc1c5ca1e65521862ed1bcee" TargetMode="External"/><Relationship Id="rId6" Type="http://schemas.openxmlformats.org/officeDocument/2006/relationships/hyperlink" Target="https://www.educationalcoin.com/product-category/ancient-historical/ngc-certified-slabs/?_ruler_for_landing_page=constantine-ii" TargetMode="External"/><Relationship Id="rId23" Type="http://schemas.openxmlformats.org/officeDocument/2006/relationships/hyperlink" Target="https://www.educationalcoin.com/product-category/ancient-historical/ngc-certified-slabs/?_ruler_for_landing_page=claudius-ii" TargetMode="External"/><Relationship Id="rId28" Type="http://schemas.openxmlformats.org/officeDocument/2006/relationships/hyperlink" Target="https://www.educationalcoin.com/product-category/ancient-historical/ngc-certified-slabs/?_ruler_for_landing_page=severina" TargetMode="External"/><Relationship Id="rId49" Type="http://schemas.openxmlformats.org/officeDocument/2006/relationships/hyperlink" Target="https://www.educationalcoin.com/product-category/ancient-historical/ngc-certified-slabs/?_ruler_for_landing_page=carinus" TargetMode="External"/><Relationship Id="rId114" Type="http://schemas.openxmlformats.org/officeDocument/2006/relationships/hyperlink" Target="https://www.educationalcoin.com/crusades-levon-the-magnificent-king-of-armenia-ngc.html" TargetMode="External"/><Relationship Id="rId119" Type="http://schemas.openxmlformats.org/officeDocument/2006/relationships/hyperlink" Target="https://www.educationalcoin.com/product-category/ancient-historical/ngc-certified-slabs/?_ruler_for_landing_page=antonius-felix" TargetMode="External"/><Relationship Id="rId44" Type="http://schemas.openxmlformats.org/officeDocument/2006/relationships/hyperlink" Target="https://www.educationalcoin.com/product-category/ancient-historical/ngc-certified-slabs/?_ruler_for_landing_page=tetricus-i" TargetMode="External"/><Relationship Id="rId60" Type="http://schemas.openxmlformats.org/officeDocument/2006/relationships/hyperlink" Target="https://www.educationalcoin.com/product-category/ancient-historical/ngc-certified-slabs/?_ruler_for_landing_page=Vabalathus" TargetMode="External"/><Relationship Id="rId65" Type="http://schemas.openxmlformats.org/officeDocument/2006/relationships/hyperlink" Target="https://www.educationalcoin.com/product-category/ancient-historical/ngc-certified-slabs/?_ruler_for_landing_page=galerius" TargetMode="External"/><Relationship Id="rId81" Type="http://schemas.openxmlformats.org/officeDocument/2006/relationships/hyperlink" Target="https://www.educationalcoin.com/product-category/ancient-historical/ngc-certified-slabs/?_ruler_for_landing_page=florian" TargetMode="External"/><Relationship Id="rId86" Type="http://schemas.openxmlformats.org/officeDocument/2006/relationships/hyperlink" Target="https://www.educationalcoin.com/product-category/ancient-historical/ngc-certified-slabs/?_ruler_for_landing_page=theodora" TargetMode="External"/><Relationship Id="rId130" Type="http://schemas.openxmlformats.org/officeDocument/2006/relationships/hyperlink" Target="https://www.educationalcoin.com/product-category/ancient-historical/ngc-certified-slabs/?_ruler_for_landing_page=8b8b4cbfb72ec942caa28ef5998cb929" TargetMode="External"/><Relationship Id="rId135" Type="http://schemas.openxmlformats.org/officeDocument/2006/relationships/hyperlink" Target="https://www.educationalcoin.com/product-category/ancient-historical/ngc-certified-slabs/?_ruler_for_landing_page=sabina" TargetMode="External"/><Relationship Id="rId151" Type="http://schemas.openxmlformats.org/officeDocument/2006/relationships/hyperlink" Target="https://www.educationalcoin.com/product-category/ancient-historical/ngc-certified-slabs/?_ruler_for_landing_page=numerian" TargetMode="External"/><Relationship Id="rId156" Type="http://schemas.openxmlformats.org/officeDocument/2006/relationships/hyperlink" Target="https://www.educationalcoin.com/product-category/ancient-historical/ngc-certified-slabs/?_subcategory=london-mint" TargetMode="External"/><Relationship Id="rId177" Type="http://schemas.openxmlformats.org/officeDocument/2006/relationships/hyperlink" Target="https://www.educationalcoin.com/product-category/ancient-historical/ngc-certified-slabs/?_ruler_for_landing_page=porcius-festus" TargetMode="External"/><Relationship Id="rId172" Type="http://schemas.openxmlformats.org/officeDocument/2006/relationships/hyperlink" Target="https://www.educationalcoin.com/product-category/ancient-historical/ngc-certified-slabs/?_ruler_for_landing_page=" TargetMode="External"/><Relationship Id="rId13" Type="http://schemas.openxmlformats.org/officeDocument/2006/relationships/hyperlink" Target="https://www.educationalcoin.com/product-category/ancient-historical/ngc-certified-slabs/?_ruler_for_landing_page=diocletian" TargetMode="External"/><Relationship Id="rId18" Type="http://schemas.openxmlformats.org/officeDocument/2006/relationships/hyperlink" Target="https://www.educationalcoin.com/product-category/ancient-historical/ngc-certified-slabs/?_ruler_for_landing_page=theodosius-ii" TargetMode="External"/><Relationship Id="rId39" Type="http://schemas.openxmlformats.org/officeDocument/2006/relationships/hyperlink" Target="https://www.educationalcoin.com/product-category/ancient-historical/ngc-certified-slabs/?_ruler_for_landing_page=philip-i" TargetMode="External"/><Relationship Id="rId109" Type="http://schemas.openxmlformats.org/officeDocument/2006/relationships/hyperlink" Target="https://www.educationalcoin.com/catalogsearch/result/?q=leopold+hogmouth" TargetMode="External"/><Relationship Id="rId34" Type="http://schemas.openxmlformats.org/officeDocument/2006/relationships/hyperlink" Target="https://www.educationalcoin.com/product-category/ancient-historical/ngc-certified-slabs/?_ruler_for_landing_page=commodus" TargetMode="External"/><Relationship Id="rId50" Type="http://schemas.openxmlformats.org/officeDocument/2006/relationships/hyperlink" Target="https://www.educationalcoin.com/product-category/ancient-historical/ngc-certified-slabs/?_ruler_for_landing_page=honorius" TargetMode="External"/><Relationship Id="rId55" Type="http://schemas.openxmlformats.org/officeDocument/2006/relationships/hyperlink" Target="https://www.educationalcoin.com/product-category/ancient-historical/ngc-certified-slabs/?_ruler_for_landing_page=honorius" TargetMode="External"/><Relationship Id="rId76" Type="http://schemas.openxmlformats.org/officeDocument/2006/relationships/hyperlink" Target="https://www.educationalcoin.com/product-category/ancient-historical/ngc-certified-slabs/?_ruler_for_landing_page=domitian" TargetMode="External"/><Relationship Id="rId97" Type="http://schemas.openxmlformats.org/officeDocument/2006/relationships/hyperlink" Target="https://www.educationalcoin.com/ancient-coins/ngc-certified-slabs.html?subcategory=1709" TargetMode="External"/><Relationship Id="rId104" Type="http://schemas.openxmlformats.org/officeDocument/2006/relationships/hyperlink" Target="https://www.educationalcoin.com/revenge-of-the-blind-king-ngc-slab-24632.html" TargetMode="External"/><Relationship Id="rId120" Type="http://schemas.openxmlformats.org/officeDocument/2006/relationships/hyperlink" Target="https://www.educationalcoin.com/product-category/ancient-historical/ngc-certified-slabs/?_subcategory=london-mint" TargetMode="External"/><Relationship Id="rId125" Type="http://schemas.openxmlformats.org/officeDocument/2006/relationships/hyperlink" Target="https://www.educationalcoin.com/product-category/ancient-historical/ngc-certified-slabs/?_ruler_for_landing_page=leo-i" TargetMode="External"/><Relationship Id="rId141" Type="http://schemas.openxmlformats.org/officeDocument/2006/relationships/hyperlink" Target="https://www.educationalcoin.com/product-category/ancient-historical/ngc-certified-slabs/?_ruler_for_landing_page=jovian" TargetMode="External"/><Relationship Id="rId146" Type="http://schemas.openxmlformats.org/officeDocument/2006/relationships/hyperlink" Target="https://www.educationalcoin.com/product-category/ancient-historical/ngc-certified-slabs/?_ruler_for_landing_page=maximian" TargetMode="External"/><Relationship Id="rId167" Type="http://schemas.openxmlformats.org/officeDocument/2006/relationships/hyperlink" Target="https://www.educationalcoin.com/product-category/ancient-historical/ngc-certified-slabs/?_ruler_for_landing_page=" TargetMode="External"/><Relationship Id="rId188" Type="http://schemas.openxmlformats.org/officeDocument/2006/relationships/hyperlink" Target="https://www.educationalcoin.com/product/first-persian-empire-ngc-slabng/" TargetMode="External"/><Relationship Id="rId7" Type="http://schemas.openxmlformats.org/officeDocument/2006/relationships/hyperlink" Target="https://www.educationalcoin.com/product-category/ancient-historical/ngc-certified-slabs/?_ruler_for_landing_page=constans" TargetMode="External"/><Relationship Id="rId71" Type="http://schemas.openxmlformats.org/officeDocument/2006/relationships/hyperlink" Target="https://www.educationalcoin.com/product-category/ancient-historical/ngc-certified-slabs/?_ruler_for_landing_page=trajan-decius" TargetMode="External"/><Relationship Id="rId92" Type="http://schemas.openxmlformats.org/officeDocument/2006/relationships/hyperlink" Target="https://www.educationalcoin.com/product-category/ancient-historical/ngc-certified-slabs/?_subcategory=sol" TargetMode="External"/><Relationship Id="rId162" Type="http://schemas.openxmlformats.org/officeDocument/2006/relationships/hyperlink" Target="https://www.educationalcoin.com/product-category/ancient-historical/ngc-certified-slabs/?_ruler_for_landing_page=julia-soaemias" TargetMode="External"/><Relationship Id="rId183" Type="http://schemas.openxmlformats.org/officeDocument/2006/relationships/hyperlink" Target="https://www.educationalcoin.com/product-category/ancient-historical/ngc-certified-slabs/?_ruler_for_landing_page=menander" TargetMode="External"/><Relationship Id="rId2" Type="http://schemas.openxmlformats.org/officeDocument/2006/relationships/hyperlink" Target="https://www.educationalcoin.com/product-category/ancient-historical/ngc-certified-slabs/?_ruler_for_landing_page=constantine-the-great" TargetMode="External"/><Relationship Id="rId29" Type="http://schemas.openxmlformats.org/officeDocument/2006/relationships/hyperlink" Target="https://www.educationalcoin.com/ancient-coins/ngc-certified-slabs.html?ruler=1431" TargetMode="External"/><Relationship Id="rId24" Type="http://schemas.openxmlformats.org/officeDocument/2006/relationships/hyperlink" Target="https://www.educationalcoin.com/product-category/ancient-historical/ngc-certified-slabs/?_ruler_for_landing_page=gallienus" TargetMode="External"/><Relationship Id="rId40" Type="http://schemas.openxmlformats.org/officeDocument/2006/relationships/hyperlink" Target="https://www.educationalcoin.com/product-category/ancient-historical/ngc-certified-slabs/?_ruler_for_landing_page=victorinus" TargetMode="External"/><Relationship Id="rId45" Type="http://schemas.openxmlformats.org/officeDocument/2006/relationships/hyperlink" Target="https://www.educationalcoin.com/product-category/ancient-historical/ngc-certified-slabs/?_ruler_for_landing_page=tetricus-ii" TargetMode="External"/><Relationship Id="rId66" Type="http://schemas.openxmlformats.org/officeDocument/2006/relationships/hyperlink" Target="https://www.educationalcoin.com/product-category/ancient-historical/ngc-certified-slabs/?_ruler_for_landing_page=aureolus" TargetMode="External"/><Relationship Id="rId87" Type="http://schemas.openxmlformats.org/officeDocument/2006/relationships/hyperlink" Target="https://www.educationalcoin.com/product-category/ancient-historical/ngc-certified-slabs/?_ruler_for_landing_page=fausta" TargetMode="External"/><Relationship Id="rId110" Type="http://schemas.openxmlformats.org/officeDocument/2006/relationships/hyperlink" Target="https://www.educationalcoin.com/mythical-hamsa-bird-ngc-slab.html" TargetMode="External"/><Relationship Id="rId115" Type="http://schemas.openxmlformats.org/officeDocument/2006/relationships/hyperlink" Target="https://www.educationalcoin.com/catalogsearch/result/?q=azes+II" TargetMode="External"/><Relationship Id="rId131" Type="http://schemas.openxmlformats.org/officeDocument/2006/relationships/hyperlink" Target="https://www.educationalcoin.com/product-category/ancient-historical/ngc-certified-slabs/?_ruler_for_landing_page=8b8b4cbfb72ec942caa28ef5998cb929" TargetMode="External"/><Relationship Id="rId136" Type="http://schemas.openxmlformats.org/officeDocument/2006/relationships/hyperlink" Target="https://www.educationalcoin.com/product-category/ancient-historical/ngc-certified-slabs/?_ruler_for_landing_page=valerian-ii" TargetMode="External"/><Relationship Id="rId157" Type="http://schemas.openxmlformats.org/officeDocument/2006/relationships/hyperlink" Target="https://www.educationalcoin.com/product-category/ancient-historical/ngc-certified-slabs/?_subcategory=london-mint" TargetMode="External"/><Relationship Id="rId178" Type="http://schemas.openxmlformats.org/officeDocument/2006/relationships/hyperlink" Target="https://www.educationalcoin.com/product/mattathias-antigonus-the-last-king-of-judaeac/" TargetMode="External"/><Relationship Id="rId61" Type="http://schemas.openxmlformats.org/officeDocument/2006/relationships/hyperlink" Target="https://www.educationalcoin.com/product-category/ancient-historical/ngc-certified-slabs/?_ruler_for_landing_page=gallienus" TargetMode="External"/><Relationship Id="rId82" Type="http://schemas.openxmlformats.org/officeDocument/2006/relationships/hyperlink" Target="https://www.educationalcoin.com/product-category/ancient-historical/ngc-certified-slabs/?_ruler_for_landing_page=carus" TargetMode="External"/><Relationship Id="rId152" Type="http://schemas.openxmlformats.org/officeDocument/2006/relationships/hyperlink" Target="https://www.educationalcoin.com/product-category/ancient-historical/ngc-certified-slabs/?_ruler_for_landing_page=quintillus" TargetMode="External"/><Relationship Id="rId173" Type="http://schemas.openxmlformats.org/officeDocument/2006/relationships/hyperlink" Target="https://www.educationalcoin.com/product-category/ancient-historical/ngc-certified-slabs/?_ruler_for_landing_page=herod-the-great" TargetMode="External"/><Relationship Id="rId19" Type="http://schemas.openxmlformats.org/officeDocument/2006/relationships/hyperlink" Target="https://www.educationalcoin.com/product-category/ancient-historical/ngc-certified-slabs/?_ruler_for_landing_page=valens" TargetMode="External"/><Relationship Id="rId14" Type="http://schemas.openxmlformats.org/officeDocument/2006/relationships/hyperlink" Target="https://www.educationalcoin.com/product-category/ancient-historical/ngc-certified-slabs/?_ruler_for_landing_page=gratian" TargetMode="External"/><Relationship Id="rId30" Type="http://schemas.openxmlformats.org/officeDocument/2006/relationships/hyperlink" Target="https://www.educationalcoin.com/ancient-coins/ngc-certified-slabs.html?ruler=990" TargetMode="External"/><Relationship Id="rId35" Type="http://schemas.openxmlformats.org/officeDocument/2006/relationships/hyperlink" Target="https://www.educationalcoin.com/product-category/ancient-historical/ngc-certified-slabs/?_ruler_for_landing_page=julia-domna" TargetMode="External"/><Relationship Id="rId56" Type="http://schemas.openxmlformats.org/officeDocument/2006/relationships/hyperlink" Target="https://www.educationalcoin.com/product-category/ancient-historical/ngc-certified-slabs/?_ruler_for_landing_page=valentinian-ii" TargetMode="External"/><Relationship Id="rId77" Type="http://schemas.openxmlformats.org/officeDocument/2006/relationships/hyperlink" Target="https://www.educationalcoin.com/product-category/ancient-historical/ngc-certified-slabs/?_ruler_for_landing_page=vespasian" TargetMode="External"/><Relationship Id="rId100" Type="http://schemas.openxmlformats.org/officeDocument/2006/relationships/hyperlink" Target="https://www.educationalcoin.com/product-category/ancient-historical/ngc-certified-slabs/?_ruler_for_landing_page=septimius-severus" TargetMode="External"/><Relationship Id="rId105" Type="http://schemas.openxmlformats.org/officeDocument/2006/relationships/hyperlink" Target="https://www.educationalcoin.com/catalogsearch/result/?q=phillip+III+tetradrachm" TargetMode="External"/><Relationship Id="rId126" Type="http://schemas.openxmlformats.org/officeDocument/2006/relationships/hyperlink" Target="https://www.educationalcoin.com/product-category/ancient-historical/ngc-certified-slabs/?_ruler_for_landing_page=marcian" TargetMode="External"/><Relationship Id="rId147" Type="http://schemas.openxmlformats.org/officeDocument/2006/relationships/hyperlink" Target="https://www.educationalcoin.com/product-category/ancient-historical/ngc-certified-slabs/?_ruler_for_landing_page=maximian" TargetMode="External"/><Relationship Id="rId168" Type="http://schemas.openxmlformats.org/officeDocument/2006/relationships/hyperlink" Target="https://www.educationalcoin.com/product-category/ancient-historical/ngc-certified-slabs/?_ruler_for_landing_page=valerian-i" TargetMode="External"/><Relationship Id="rId8" Type="http://schemas.openxmlformats.org/officeDocument/2006/relationships/hyperlink" Target="https://www.educationalcoin.com/product-category/ancient-historical/ngc-certified-slabs/?_ruler_for_landing_page=constantius-ii" TargetMode="External"/><Relationship Id="rId51" Type="http://schemas.openxmlformats.org/officeDocument/2006/relationships/hyperlink" Target="https://www.educationalcoin.com/product-category/ancient-historical/ngc-certified-slabs/?_ruler_for_landing_page=julian-ii-the-apostate" TargetMode="External"/><Relationship Id="rId72" Type="http://schemas.openxmlformats.org/officeDocument/2006/relationships/hyperlink" Target="https://www.educationalcoin.com/product-category/ancient-historical/ngc-certified-slabs/?_ruler_for_landing_page=volusian" TargetMode="External"/><Relationship Id="rId93" Type="http://schemas.openxmlformats.org/officeDocument/2006/relationships/hyperlink" Target="https://www.educationalcoin.com/product-category/ancient-historical/ngc-certified-slabs/?_subcategory=jovi" TargetMode="External"/><Relationship Id="rId98" Type="http://schemas.openxmlformats.org/officeDocument/2006/relationships/hyperlink" Target="https://www.educationalcoin.com/ancient-coins/ngc-certified-slabs.html?subcategory=1709" TargetMode="External"/><Relationship Id="rId121" Type="http://schemas.openxmlformats.org/officeDocument/2006/relationships/hyperlink" Target="https://www.educationalcoin.com/-122546.html" TargetMode="External"/><Relationship Id="rId142" Type="http://schemas.openxmlformats.org/officeDocument/2006/relationships/hyperlink" Target="https://www.educationalcoin.com/product-category/ancient-historical/ngc-certified-slabs/?_ruler_for_landing_page=theodora" TargetMode="External"/><Relationship Id="rId163" Type="http://schemas.openxmlformats.org/officeDocument/2006/relationships/hyperlink" Target="https://www.educationalcoin.com/product-category/ancient-historical/ngc-certified-slabs/?_ruler_for_landing_page=herennia-etruscilla" TargetMode="External"/><Relationship Id="rId184" Type="http://schemas.openxmlformats.org/officeDocument/2006/relationships/hyperlink" Target="https://www.educationalcoin.com/product-category/ancient-historical/ngc-certified-slabs/?_ruler_for_landing_page=hermaeus" TargetMode="External"/><Relationship Id="rId189" Type="http://schemas.openxmlformats.org/officeDocument/2006/relationships/printerSettings" Target="../printerSettings/printerSettings1.bin"/><Relationship Id="rId3" Type="http://schemas.openxmlformats.org/officeDocument/2006/relationships/hyperlink" Target="https://www.educationalcoin.com/product-category/ancient-historical/ngc-certified-slabs/?_ruler_for_landing_page=crispus" TargetMode="External"/><Relationship Id="rId25" Type="http://schemas.openxmlformats.org/officeDocument/2006/relationships/hyperlink" Target="https://www.educationalcoin.com/product-category/ancient-historical/ngc-certified-slabs/?_ruler_for_landing_page=postumus" TargetMode="External"/><Relationship Id="rId46" Type="http://schemas.openxmlformats.org/officeDocument/2006/relationships/hyperlink" Target="https://www.educationalcoin.com/product-category/ancient-historical/ngc-certified-slabs/?_ruler_for_landing_page=philip-ii" TargetMode="External"/><Relationship Id="rId67" Type="http://schemas.openxmlformats.org/officeDocument/2006/relationships/hyperlink" Target="https://www.educationalcoin.com/product-category/ancient-historical/ngc-certified-slabs/?_ruler_for_landing_page=julia-maesa" TargetMode="External"/><Relationship Id="rId116" Type="http://schemas.openxmlformats.org/officeDocument/2006/relationships/hyperlink" Target="https://www.educationalcoin.com/nero-alexandria-tetradrachm-ngc-slab.html" TargetMode="External"/><Relationship Id="rId137" Type="http://schemas.openxmlformats.org/officeDocument/2006/relationships/hyperlink" Target="https://www.educationalcoin.com/product-category/ancient-historical/ngc-certified-slabs/?_ruler_for_landing_page=saloninus" TargetMode="External"/><Relationship Id="rId158" Type="http://schemas.openxmlformats.org/officeDocument/2006/relationships/hyperlink" Target="https://www.educationalcoin.com/product-category/ancient-historical/ngc-certified-slabs/?_subcategory=london-mint" TargetMode="External"/><Relationship Id="rId20" Type="http://schemas.openxmlformats.org/officeDocument/2006/relationships/hyperlink" Target="https://www.educationalcoin.com/product-category/ancient-historical/ngc-certified-slabs/?_ruler_for_landing_page=valentinian-i" TargetMode="External"/><Relationship Id="rId41" Type="http://schemas.openxmlformats.org/officeDocument/2006/relationships/hyperlink" Target="https://www.educationalcoin.com/product-category/ancient-historical/ngc-certified-slabs/?_ruler_for_landing_page=aelia-flacilla" TargetMode="External"/><Relationship Id="rId62" Type="http://schemas.openxmlformats.org/officeDocument/2006/relationships/hyperlink" Target="https://www.educationalcoin.com/product-category/ancient-historical/ngc-certified-slabs/?_ruler_for_landing_page=elagabalus" TargetMode="External"/><Relationship Id="rId83" Type="http://schemas.openxmlformats.org/officeDocument/2006/relationships/hyperlink" Target="https://www.educationalcoin.com/product-category/ancient-historical/ngc-certified-slabs/?_ruler_for_landing_page=d6f4694dbc1c5ca1e65521862ed1bcee" TargetMode="External"/><Relationship Id="rId88" Type="http://schemas.openxmlformats.org/officeDocument/2006/relationships/hyperlink" Target="https://www.educationalcoin.com/product-category/ancient-historical/ngc-certified-slabs/?_ruler_for_landing_page=galeria-valeria" TargetMode="External"/><Relationship Id="rId111" Type="http://schemas.openxmlformats.org/officeDocument/2006/relationships/hyperlink" Target="https://www.educationalcoin.com/madonna-and-child-medieval-silver-coin-ngc.html" TargetMode="External"/><Relationship Id="rId132" Type="http://schemas.openxmlformats.org/officeDocument/2006/relationships/hyperlink" Target="https://www.educationalcoin.com/product-category/ancient-historical/ngc-certified-slabs/?_ruler_for_landing_page=carausius" TargetMode="External"/><Relationship Id="rId153" Type="http://schemas.openxmlformats.org/officeDocument/2006/relationships/hyperlink" Target="https://www.educationalcoin.com/product-category/ancient-historical/ngc-certified-slabs/?_ruler_for_landing_page=tacitus" TargetMode="External"/><Relationship Id="rId174" Type="http://schemas.openxmlformats.org/officeDocument/2006/relationships/hyperlink" Target="https://www.educationalcoin.com/product-category/ancient-historical/ngc-certified-slabs/?_ruler_for_landing_page=maccabean" TargetMode="External"/><Relationship Id="rId179" Type="http://schemas.openxmlformats.org/officeDocument/2006/relationships/hyperlink" Target="https://www.educationalcoin.com/product-category/ancient-historical/ngc-certified-slabs/?_ruler_for_landing_page=alexander-jannaeus" TargetMode="External"/><Relationship Id="rId15" Type="http://schemas.openxmlformats.org/officeDocument/2006/relationships/hyperlink" Target="https://www.educationalcoin.com/product-category/ancient-historical/ngc-certified-slabs/?_ruler_for_landing_page=honorius" TargetMode="External"/><Relationship Id="rId36" Type="http://schemas.openxmlformats.org/officeDocument/2006/relationships/hyperlink" Target="https://www.educationalcoin.com/product-category/ancient-historical/ngc-certified-slabs/?_ruler_for_landing_page=caracalla" TargetMode="External"/><Relationship Id="rId57" Type="http://schemas.openxmlformats.org/officeDocument/2006/relationships/hyperlink" Target="https://www.educationalcoin.com/product-category/ancient-historical/ngc-certified-slabs/?_ruler_for_landing_page=maxentius" TargetMode="External"/><Relationship Id="rId106" Type="http://schemas.openxmlformats.org/officeDocument/2006/relationships/hyperlink" Target="https://www.educationalcoin.com/ancient-greek-macedonian-empire-alexander-the-great-336-323-bce-ngc-certified-slab-24970.html" TargetMode="External"/><Relationship Id="rId127" Type="http://schemas.openxmlformats.org/officeDocument/2006/relationships/hyperlink" Target="https://www.educationalcoin.com/product-category/ancient-historical/ngc-certified-slabs/?_ruler_for_landing_page=aelia-eudoxia" TargetMode="External"/><Relationship Id="rId10" Type="http://schemas.openxmlformats.org/officeDocument/2006/relationships/hyperlink" Target="https://www.educationalcoin.com/product-category/ancient-historical/ngc-certified-slabs/?_ruler_for_landing_page=julian-ii-the-apostate" TargetMode="External"/><Relationship Id="rId31" Type="http://schemas.openxmlformats.org/officeDocument/2006/relationships/hyperlink" Target="https://www.educationalcoin.com/product-category/ancient-historical/ngc-certified-slabs/?_ruler_for_landing_page=antonius-pius" TargetMode="External"/><Relationship Id="rId52" Type="http://schemas.openxmlformats.org/officeDocument/2006/relationships/hyperlink" Target="https://www.educationalcoin.com/product-category/ancient-historical/ngc-certified-slabs/?_ruler_for_landing_page=arcadius" TargetMode="External"/><Relationship Id="rId73" Type="http://schemas.openxmlformats.org/officeDocument/2006/relationships/hyperlink" Target="https://www.educationalcoin.com/product-category/ancient-historical/ngc-certified-slabs/?_ruler_for_landing_page=plautilla" TargetMode="External"/><Relationship Id="rId78" Type="http://schemas.openxmlformats.org/officeDocument/2006/relationships/hyperlink" Target="https://www.educationalcoin.com/product-category/ancient-historical/ngc-certified-slabs/?_ruler_for_landing_page=procopius" TargetMode="External"/><Relationship Id="rId94" Type="http://schemas.openxmlformats.org/officeDocument/2006/relationships/hyperlink" Target="https://www.educationalcoin.com/product-category/ancient-historical/ngc-certified-slabs/?_ruler_for_landing_page=constantius-ii" TargetMode="External"/><Relationship Id="rId99" Type="http://schemas.openxmlformats.org/officeDocument/2006/relationships/hyperlink" Target="https://www.educationalcoin.com/ancient-coins/ngc-certified-slabs.html?subcategory=1709" TargetMode="External"/><Relationship Id="rId101" Type="http://schemas.openxmlformats.org/officeDocument/2006/relationships/hyperlink" Target="https://www.educationalcoin.com/catalogsearch/result/?q=CATHERINE%28AE%29NGC" TargetMode="External"/><Relationship Id="rId122" Type="http://schemas.openxmlformats.org/officeDocument/2006/relationships/hyperlink" Target="https://www.educationalcoin.com/catalogsearch/result/?q=arabia+felix" TargetMode="External"/><Relationship Id="rId143" Type="http://schemas.openxmlformats.org/officeDocument/2006/relationships/hyperlink" Target="https://www.educationalcoin.com/product-category/ancient-historical/ngc-certified-slabs/?_ruler_for_landing_page=helena" TargetMode="External"/><Relationship Id="rId148" Type="http://schemas.openxmlformats.org/officeDocument/2006/relationships/hyperlink" Target="https://www.educationalcoin.com/product-category/ancient-historical/ngc-certified-slabs/?_ruler_for_landing_page=severus-ii" TargetMode="External"/><Relationship Id="rId164" Type="http://schemas.openxmlformats.org/officeDocument/2006/relationships/hyperlink" Target="https://www.educationalcoin.com/product-category/ancient-historical/ngc-certified-slabs/?_ruler_for_landing_page=herennius-etruscus" TargetMode="External"/><Relationship Id="rId169" Type="http://schemas.openxmlformats.org/officeDocument/2006/relationships/hyperlink" Target="https://www.educationalcoin.com/product-category/ancient-historical/ngc-certified-slabs/?_ruler_for_landing_page=postumus" TargetMode="External"/><Relationship Id="rId185" Type="http://schemas.openxmlformats.org/officeDocument/2006/relationships/hyperlink" Target="https://www.educationalcoin.com/product/kings-of-elam-drachm-in-ngc-slab-book-of-genesis-coin/" TargetMode="External"/><Relationship Id="rId4" Type="http://schemas.openxmlformats.org/officeDocument/2006/relationships/hyperlink" Target="https://www.educationalcoin.com/product-category/ancient-historical/ngc-certified-slabs/?_ruler_for_landing_page=licinius-i" TargetMode="External"/><Relationship Id="rId9" Type="http://schemas.openxmlformats.org/officeDocument/2006/relationships/hyperlink" Target="https://www.educationalcoin.com/product-category/ancient-historical/ngc-certified-slabs/?_ruler_for_landing_page=constantius-gallus" TargetMode="External"/><Relationship Id="rId180" Type="http://schemas.openxmlformats.org/officeDocument/2006/relationships/hyperlink" Target="https://www.educationalcoin.com/product-category/ancient-historical/ngc-certified-slabs/?_ruler_for_landing_pag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BBA35-4808-4F42-9934-FFE85634FDCD}">
  <dimension ref="A1:AU457"/>
  <sheetViews>
    <sheetView tabSelected="1" workbookViewId="0">
      <selection activeCell="F2" sqref="F2"/>
    </sheetView>
  </sheetViews>
  <sheetFormatPr defaultColWidth="9.140625" defaultRowHeight="15" x14ac:dyDescent="0.25"/>
  <cols>
    <col min="1" max="1" width="16.42578125" customWidth="1"/>
    <col min="2" max="2" width="26.5703125" customWidth="1"/>
    <col min="3" max="3" width="23.5703125" customWidth="1"/>
    <col min="4" max="4" width="22.7109375" customWidth="1"/>
    <col min="5" max="5" width="19" customWidth="1"/>
    <col min="6" max="6" width="7.7109375" customWidth="1"/>
    <col min="7" max="7" width="5.5703125" bestFit="1" customWidth="1"/>
    <col min="8" max="8" width="9.140625" customWidth="1"/>
    <col min="9" max="9" width="5.5703125" bestFit="1" customWidth="1"/>
    <col min="10" max="10" width="6.42578125" bestFit="1" customWidth="1"/>
    <col min="11" max="11" width="6.28515625" bestFit="1" customWidth="1"/>
    <col min="12" max="12" width="6.5703125" customWidth="1"/>
    <col min="13" max="13" width="6.28515625" bestFit="1" customWidth="1"/>
    <col min="14" max="14" width="6.42578125" bestFit="1" customWidth="1"/>
    <col min="15" max="15" width="6.28515625" bestFit="1" customWidth="1"/>
    <col min="16" max="16" width="6.5703125" bestFit="1" customWidth="1"/>
    <col min="17" max="17" width="5.5703125" bestFit="1" customWidth="1"/>
    <col min="18" max="18" width="6.42578125" bestFit="1" customWidth="1"/>
    <col min="19" max="19" width="5.5703125" bestFit="1" customWidth="1"/>
    <col min="20" max="21" width="6.85546875" customWidth="1"/>
    <col min="22" max="22" width="6.28515625" bestFit="1" customWidth="1"/>
    <col min="23" max="23" width="6.85546875" customWidth="1"/>
  </cols>
  <sheetData>
    <row r="1" spans="1:20" s="3" customFormat="1" ht="18" customHeight="1" x14ac:dyDescent="0.25">
      <c r="A1" s="1" t="s">
        <v>0</v>
      </c>
      <c r="B1" s="2"/>
      <c r="C1" s="2"/>
      <c r="D1" s="2"/>
      <c r="E1" s="2"/>
      <c r="H1" s="4"/>
      <c r="J1" s="5"/>
      <c r="L1" s="4"/>
      <c r="O1" s="6"/>
      <c r="P1" s="5"/>
      <c r="R1" s="5"/>
    </row>
    <row r="2" spans="1:20" s="3" customFormat="1" ht="18" customHeight="1" x14ac:dyDescent="0.25">
      <c r="A2" s="7" t="s">
        <v>1</v>
      </c>
      <c r="B2" s="8"/>
      <c r="C2" s="8"/>
      <c r="D2" s="8"/>
      <c r="E2" s="8"/>
      <c r="H2" s="4"/>
      <c r="J2" s="5"/>
      <c r="L2" s="4"/>
      <c r="O2" s="6"/>
      <c r="P2" s="5"/>
      <c r="R2" s="5"/>
    </row>
    <row r="3" spans="1:20" s="3" customFormat="1" ht="47.25" x14ac:dyDescent="0.25">
      <c r="A3" s="9" t="s">
        <v>2</v>
      </c>
      <c r="B3" s="10"/>
      <c r="C3" s="11"/>
      <c r="E3" s="12"/>
      <c r="H3" s="4"/>
      <c r="I3" s="12"/>
      <c r="J3" s="5"/>
      <c r="K3" s="12"/>
      <c r="L3" s="4"/>
      <c r="P3" s="5"/>
      <c r="R3" s="5"/>
    </row>
    <row r="4" spans="1:20" s="3" customFormat="1" ht="18" customHeight="1" thickBot="1" x14ac:dyDescent="0.3">
      <c r="A4" s="13"/>
      <c r="B4" s="10"/>
      <c r="C4" s="11"/>
      <c r="E4" s="12" t="s">
        <v>3</v>
      </c>
      <c r="G4" s="14"/>
      <c r="H4" s="4"/>
      <c r="I4" s="12"/>
      <c r="J4" s="5"/>
      <c r="L4" s="4"/>
      <c r="P4" s="5"/>
      <c r="R4" s="5"/>
    </row>
    <row r="5" spans="1:20" s="3" customFormat="1" ht="31.5" customHeight="1" thickTop="1" thickBot="1" x14ac:dyDescent="0.3">
      <c r="A5" s="15" t="s">
        <v>4</v>
      </c>
      <c r="B5" s="16">
        <v>65788</v>
      </c>
      <c r="C5" s="17"/>
      <c r="D5" s="18"/>
      <c r="E5" s="19"/>
      <c r="F5" s="20"/>
      <c r="G5" s="21" t="s">
        <v>5</v>
      </c>
      <c r="H5" s="22"/>
      <c r="I5" s="23" t="s">
        <v>6</v>
      </c>
      <c r="J5" s="24"/>
      <c r="K5" s="25" t="s">
        <v>7</v>
      </c>
      <c r="L5" s="26"/>
      <c r="M5" s="27" t="s">
        <v>8</v>
      </c>
      <c r="N5" s="27"/>
      <c r="O5" s="27" t="s">
        <v>9</v>
      </c>
      <c r="P5" s="27"/>
      <c r="Q5" s="27" t="s">
        <v>10</v>
      </c>
      <c r="R5" s="27"/>
      <c r="S5" s="27" t="s">
        <v>11</v>
      </c>
      <c r="T5" s="27"/>
    </row>
    <row r="6" spans="1:20" s="42" customFormat="1" ht="18" customHeight="1" thickTop="1" x14ac:dyDescent="0.25">
      <c r="A6" s="28" t="s">
        <v>12</v>
      </c>
      <c r="B6" s="29" t="s">
        <v>13</v>
      </c>
      <c r="C6" s="30" t="s">
        <v>14</v>
      </c>
      <c r="D6" s="31" t="s">
        <v>15</v>
      </c>
      <c r="E6" s="32" t="s">
        <v>16</v>
      </c>
      <c r="F6" s="33" t="s">
        <v>17</v>
      </c>
      <c r="G6" s="34" t="s">
        <v>18</v>
      </c>
      <c r="H6" s="35" t="s">
        <v>19</v>
      </c>
      <c r="I6" s="34" t="s">
        <v>18</v>
      </c>
      <c r="J6" s="35" t="s">
        <v>19</v>
      </c>
      <c r="K6" s="36" t="s">
        <v>18</v>
      </c>
      <c r="L6" s="37" t="s">
        <v>19</v>
      </c>
      <c r="M6" s="38" t="s">
        <v>18</v>
      </c>
      <c r="N6" s="39" t="s">
        <v>19</v>
      </c>
      <c r="O6" s="38" t="s">
        <v>18</v>
      </c>
      <c r="P6" s="40" t="s">
        <v>19</v>
      </c>
      <c r="Q6" s="38" t="s">
        <v>18</v>
      </c>
      <c r="R6" s="40" t="s">
        <v>19</v>
      </c>
      <c r="S6" s="38" t="s">
        <v>18</v>
      </c>
      <c r="T6" s="41" t="s">
        <v>19</v>
      </c>
    </row>
    <row r="7" spans="1:20" s="3" customFormat="1" ht="18" customHeight="1" x14ac:dyDescent="0.25">
      <c r="A7" s="43" t="s">
        <v>20</v>
      </c>
      <c r="B7" s="44" t="s">
        <v>21</v>
      </c>
      <c r="C7" s="45"/>
      <c r="D7" s="46" t="s">
        <v>22</v>
      </c>
      <c r="E7" s="47" t="s">
        <v>23</v>
      </c>
      <c r="F7" s="48">
        <v>3</v>
      </c>
      <c r="G7" s="49"/>
      <c r="H7" s="50"/>
      <c r="I7" s="49">
        <f>VLOOKUP(19565,[1]!qryExcelSlab[#Data],5,FALSE)</f>
        <v>0</v>
      </c>
      <c r="J7" s="51">
        <f>IF(I7=0,0,VLOOKUP(19565,[1]!qryExcelSlab[#Data],4,FALSE))</f>
        <v>0</v>
      </c>
      <c r="K7" s="52">
        <f>VLOOKUP(19559,[1]!qryExcelSlab[#Data],5,FALSE)</f>
        <v>19</v>
      </c>
      <c r="L7" s="53">
        <f>IF(K7=0,0,VLOOKUP(19559,[1]!qryExcelSlab[#Data],4,FALSE))</f>
        <v>47</v>
      </c>
      <c r="M7" s="49">
        <f>VLOOKUP(18111,[1]!qryExcelSlab[#Data],5,FALSE)</f>
        <v>6</v>
      </c>
      <c r="N7" s="54">
        <f>IF(M7=0,0,VLOOKUP(18111,[1]!qryExcelSlab[#Data],4,FALSE))</f>
        <v>59</v>
      </c>
      <c r="O7" s="49">
        <f>VLOOKUP(19564,[1]!qryExcelSlab[#Data],5,FALSE)</f>
        <v>2</v>
      </c>
      <c r="P7" s="55">
        <f>IF(O7=0,0,VLOOKUP(19564,[1]!qryExcelSlab[#Data],4,FALSE))</f>
        <v>69</v>
      </c>
      <c r="Q7" s="56"/>
      <c r="R7" s="55" t="s">
        <v>3</v>
      </c>
      <c r="S7" s="56"/>
      <c r="T7" s="57" t="s">
        <v>24</v>
      </c>
    </row>
    <row r="8" spans="1:20" s="3" customFormat="1" ht="18" customHeight="1" x14ac:dyDescent="0.25">
      <c r="A8" s="43" t="s">
        <v>20</v>
      </c>
      <c r="B8" s="58" t="s">
        <v>21</v>
      </c>
      <c r="C8" s="59"/>
      <c r="D8" s="60" t="s">
        <v>22</v>
      </c>
      <c r="E8" s="61" t="s">
        <v>25</v>
      </c>
      <c r="F8" s="62">
        <v>2</v>
      </c>
      <c r="G8" s="63">
        <f>VLOOKUP(23933,[1]!qryExcelSlab[#Data],5,FALSE)</f>
        <v>0</v>
      </c>
      <c r="H8" s="50">
        <f>IF(G8=0,0,VLOOKUP(23933,[1]!qryExcelSlab[#Data],4,FALSE))</f>
        <v>0</v>
      </c>
      <c r="I8" s="63">
        <f>VLOOKUP(19563,[1]!qryExcelSlab[#Data],5,FALSE)</f>
        <v>0</v>
      </c>
      <c r="J8" s="64">
        <f>IF(I8=0,0,VLOOKUP(19563,[1]!qryExcelSlab[#Data],4,FALSE))</f>
        <v>0</v>
      </c>
      <c r="K8" s="65">
        <f>VLOOKUP(19561,[1]!qryExcelSlab[#Data],5,FALSE)</f>
        <v>20</v>
      </c>
      <c r="L8" s="66">
        <f>IF(K8=0,0,VLOOKUP(19561,[1]!qryExcelSlab[#Data],4,FALSE))</f>
        <v>39</v>
      </c>
      <c r="M8" s="63">
        <f>VLOOKUP(18050,[1]!qryExcelSlab[#Data],5,FALSE)</f>
        <v>18</v>
      </c>
      <c r="N8" s="67">
        <f>IF(M8=0,0,VLOOKUP(18050,[1]!qryExcelSlab[#Data],4,FALSE))</f>
        <v>53</v>
      </c>
      <c r="O8" s="63">
        <f>VLOOKUP(19756,[1]!qryExcelSlab[#Data],5,FALSE)</f>
        <v>2</v>
      </c>
      <c r="P8" s="68">
        <f>IF(O8=0,0,VLOOKUP(19756,[1]!qryExcelSlab[#Data],4,FALSE))</f>
        <v>63</v>
      </c>
      <c r="Q8" s="69"/>
      <c r="R8" s="68" t="s">
        <v>3</v>
      </c>
      <c r="S8" s="69"/>
      <c r="T8" s="70" t="s">
        <v>24</v>
      </c>
    </row>
    <row r="9" spans="1:20" s="16" customFormat="1" ht="18" customHeight="1" x14ac:dyDescent="0.25">
      <c r="A9" s="43" t="s">
        <v>20</v>
      </c>
      <c r="B9" s="58" t="s">
        <v>21</v>
      </c>
      <c r="C9" s="59"/>
      <c r="D9" s="60" t="s">
        <v>22</v>
      </c>
      <c r="E9" s="61" t="s">
        <v>26</v>
      </c>
      <c r="F9" s="62">
        <v>2</v>
      </c>
      <c r="G9" s="63"/>
      <c r="H9" s="71"/>
      <c r="I9" s="63">
        <f>VLOOKUP(23084,[1]!qryExcelSlab[#Data],5,FALSE)</f>
        <v>15</v>
      </c>
      <c r="J9" s="64">
        <f>IF(I9=0,0,VLOOKUP(23084,[1]!qryExcelSlab[#Data],4,FALSE))</f>
        <v>30</v>
      </c>
      <c r="K9" s="65">
        <f>VLOOKUP(23082,[1]!qryExcelSlab[#Data],5,FALSE)</f>
        <v>35</v>
      </c>
      <c r="L9" s="66">
        <f>IF(K9=0,0,VLOOKUP(23082,[1]!qryExcelSlab[#Data],4,FALSE))</f>
        <v>39</v>
      </c>
      <c r="M9" s="63">
        <f>VLOOKUP(23081,[1]!qryExcelSlab[#Data],5,FALSE)</f>
        <v>2</v>
      </c>
      <c r="N9" s="67">
        <f>IF(M9=0,0,VLOOKUP(23081,[1]!qryExcelSlab[#Data],4,FALSE))</f>
        <v>53</v>
      </c>
      <c r="O9" s="63">
        <f>VLOOKUP(23080,[1]!qryExcelSlab[#Data],5,FALSE)</f>
        <v>0</v>
      </c>
      <c r="P9" s="68">
        <f>IF(O9=0,0,VLOOKUP(23080,[1]!qryExcelSlab[#Data],4,FALSE))</f>
        <v>0</v>
      </c>
      <c r="Q9" s="69"/>
      <c r="R9" s="68" t="s">
        <v>3</v>
      </c>
      <c r="S9" s="69"/>
      <c r="T9" s="72" t="s">
        <v>24</v>
      </c>
    </row>
    <row r="10" spans="1:20" s="3" customFormat="1" ht="18" customHeight="1" x14ac:dyDescent="0.25">
      <c r="A10" s="28"/>
      <c r="B10" s="73"/>
      <c r="C10" s="74"/>
      <c r="D10" s="75"/>
      <c r="E10" s="76"/>
      <c r="F10" s="77"/>
      <c r="G10" s="78"/>
      <c r="H10" s="79"/>
      <c r="I10" s="80"/>
      <c r="J10" s="81"/>
      <c r="K10" s="82"/>
      <c r="L10" s="83"/>
      <c r="M10" s="78"/>
      <c r="N10" s="84"/>
      <c r="O10" s="80"/>
      <c r="P10" s="81"/>
      <c r="Q10" s="80"/>
      <c r="R10" s="81"/>
      <c r="S10" s="85"/>
      <c r="T10" s="86"/>
    </row>
    <row r="11" spans="1:20" s="3" customFormat="1" ht="18" customHeight="1" x14ac:dyDescent="0.25">
      <c r="A11" s="43" t="s">
        <v>27</v>
      </c>
      <c r="B11" s="44" t="s">
        <v>28</v>
      </c>
      <c r="C11" s="45"/>
      <c r="D11" s="46" t="s">
        <v>29</v>
      </c>
      <c r="E11" s="87" t="s">
        <v>30</v>
      </c>
      <c r="F11" s="48">
        <v>3</v>
      </c>
      <c r="G11" s="49">
        <f>VLOOKUP(30081,[1]!qryExcelSlab[#Data],5,FALSE)</f>
        <v>4</v>
      </c>
      <c r="H11" s="50">
        <f>IF(G11=0,0,VLOOKUP(30081,[1]!qryExcelSlab[#Data],4,FALSE))</f>
        <v>17.5</v>
      </c>
      <c r="I11" s="49">
        <f>VLOOKUP(23026,[1]!qryExcelSlab[#Data],5,FALSE)</f>
        <v>5</v>
      </c>
      <c r="J11" s="51">
        <f>IF(I11=0,0,VLOOKUP(23026,[1]!qryExcelSlab[#Data],4,FALSE))</f>
        <v>37</v>
      </c>
      <c r="K11" s="52">
        <f>VLOOKUP(23027,[1]!qryExcelSlab[#Data],5,FALSE)</f>
        <v>21</v>
      </c>
      <c r="L11" s="53">
        <f>IF(K11=0,0,VLOOKUP(23027,[1]!qryExcelSlab[#Data],4,FALSE))</f>
        <v>47</v>
      </c>
      <c r="M11" s="49">
        <f>VLOOKUP(23028,[1]!qryExcelSlab[#Data],5,FALSE)</f>
        <v>1</v>
      </c>
      <c r="N11" s="54">
        <f>IF(M11=0,0,VLOOKUP(23028,[1]!qryExcelSlab[#Data],4,FALSE))</f>
        <v>59</v>
      </c>
      <c r="O11" s="49">
        <f>VLOOKUP(23029,[1]!qryExcelSlab[#Data],5,FALSE)</f>
        <v>0</v>
      </c>
      <c r="P11" s="55">
        <f>IF(O11=0,0,VLOOKUP(23029,[1]!qryExcelSlab[#Data],4,FALSE))</f>
        <v>0</v>
      </c>
      <c r="Q11" s="49">
        <f>VLOOKUP(23030,[1]!qryExcelSlab[#Data],5,FALSE)</f>
        <v>0</v>
      </c>
      <c r="R11" s="55">
        <f>IF(Q11=0,0,VLOOKUP(23030,[1]!qryExcelSlab[#Data],4,FALSE))</f>
        <v>0</v>
      </c>
      <c r="S11" s="56"/>
      <c r="T11" s="57" t="s">
        <v>24</v>
      </c>
    </row>
    <row r="12" spans="1:20" s="3" customFormat="1" ht="18" customHeight="1" x14ac:dyDescent="0.25">
      <c r="A12" s="43" t="s">
        <v>27</v>
      </c>
      <c r="B12" s="44" t="s">
        <v>28</v>
      </c>
      <c r="C12" s="45"/>
      <c r="D12" s="46" t="s">
        <v>29</v>
      </c>
      <c r="E12" s="87" t="s">
        <v>31</v>
      </c>
      <c r="F12" s="88">
        <v>4</v>
      </c>
      <c r="G12" s="49"/>
      <c r="H12" s="89"/>
      <c r="I12" s="49">
        <f>VLOOKUP(19750,[1]!qryExcelSlab[#Data],5,FALSE)</f>
        <v>5</v>
      </c>
      <c r="J12" s="51">
        <f>IF(I12=0,0,VLOOKUP(19750,[1]!qryExcelSlab[#Data],4,FALSE))</f>
        <v>41</v>
      </c>
      <c r="K12" s="52">
        <f>VLOOKUP(18748,[1]!qryExcelSlab[#Data],5,FALSE)</f>
        <v>13</v>
      </c>
      <c r="L12" s="90">
        <f>IF(K12=0,0,VLOOKUP(18748,[1]!qryExcelSlab[#Data],4,FALSE))</f>
        <v>53</v>
      </c>
      <c r="M12" s="49">
        <f>VLOOKUP(18750,[1]!qryExcelSlab[#Data],5,FALSE)</f>
        <v>3</v>
      </c>
      <c r="N12" s="91">
        <f>IF(M12=0,0,VLOOKUP(18750,[1]!qryExcelSlab[#Data],4,FALSE))</f>
        <v>63</v>
      </c>
      <c r="O12" s="49">
        <f>VLOOKUP(18123,[1]!qryExcelSlab[#Data],5,FALSE)</f>
        <v>0</v>
      </c>
      <c r="P12" s="90">
        <f>IF(O12=0,0,VLOOKUP(18123,[1]!qryExcelSlab[#Data],4,FALSE))</f>
        <v>0</v>
      </c>
      <c r="Q12" s="49">
        <f>VLOOKUP(23032,[1]!qryExcelSlab[#Data],5,FALSE)</f>
        <v>0</v>
      </c>
      <c r="R12" s="51">
        <f>IF(Q12=0,0,VLOOKUP(23032,[1]!qryExcelSlab[#Data],4,FALSE))</f>
        <v>0</v>
      </c>
      <c r="S12" s="49">
        <f>VLOOKUP(18124,[1]!qryExcelSlab[#Data],5,FALSE)</f>
        <v>0</v>
      </c>
      <c r="T12" s="57" t="s">
        <v>24</v>
      </c>
    </row>
    <row r="13" spans="1:20" s="3" customFormat="1" ht="18" customHeight="1" x14ac:dyDescent="0.25">
      <c r="A13" s="28"/>
      <c r="B13" s="73"/>
      <c r="C13" s="74"/>
      <c r="D13" s="75"/>
      <c r="E13" s="76"/>
      <c r="F13" s="77"/>
      <c r="G13" s="78"/>
      <c r="H13" s="79"/>
      <c r="I13" s="80"/>
      <c r="J13" s="81"/>
      <c r="K13" s="82"/>
      <c r="L13" s="83"/>
      <c r="M13" s="78"/>
      <c r="N13" s="84"/>
      <c r="O13" s="80"/>
      <c r="P13" s="81"/>
      <c r="Q13" s="80"/>
      <c r="R13" s="81"/>
      <c r="S13" s="80"/>
      <c r="T13" s="86"/>
    </row>
    <row r="14" spans="1:20" s="3" customFormat="1" ht="18" customHeight="1" x14ac:dyDescent="0.25">
      <c r="A14" s="43" t="s">
        <v>32</v>
      </c>
      <c r="B14" s="44" t="s">
        <v>33</v>
      </c>
      <c r="C14" s="45"/>
      <c r="D14" s="46" t="s">
        <v>34</v>
      </c>
      <c r="E14" s="92" t="s">
        <v>30</v>
      </c>
      <c r="F14" s="88">
        <v>5</v>
      </c>
      <c r="G14" s="49"/>
      <c r="H14" s="89"/>
      <c r="I14" s="49"/>
      <c r="J14" s="51" t="s">
        <v>3</v>
      </c>
      <c r="K14" s="52">
        <f>VLOOKUP(22616,[1]!qryExcelSlab[#Data],5,FALSE)</f>
        <v>1</v>
      </c>
      <c r="L14" s="90">
        <f>IF(K14=0,0,VLOOKUP(22616,[1]!qryExcelSlab[#Data],4,FALSE))</f>
        <v>57</v>
      </c>
      <c r="M14" s="49">
        <f>VLOOKUP(22615,[1]!qryExcelSlab[#Data],5,FALSE)</f>
        <v>1</v>
      </c>
      <c r="N14" s="91">
        <f>IF(M14=0,0,VLOOKUP(22615,[1]!qryExcelSlab[#Data],4,FALSE))</f>
        <v>67</v>
      </c>
      <c r="O14" s="49">
        <f>VLOOKUP(22614,[1]!qryExcelSlab[#Data],5,FALSE)</f>
        <v>0</v>
      </c>
      <c r="P14" s="90">
        <f>IF(O14=0,0,VLOOKUP(22614,[1]!qryExcelSlab[#Data],4,FALSE))</f>
        <v>0</v>
      </c>
      <c r="Q14" s="56"/>
      <c r="R14" s="51" t="s">
        <v>3</v>
      </c>
      <c r="S14" s="56"/>
      <c r="T14" s="57" t="s">
        <v>24</v>
      </c>
    </row>
    <row r="15" spans="1:20" s="3" customFormat="1" ht="18" customHeight="1" x14ac:dyDescent="0.25">
      <c r="A15" s="28"/>
      <c r="B15" s="73"/>
      <c r="C15" s="74"/>
      <c r="D15" s="75"/>
      <c r="E15" s="76"/>
      <c r="F15" s="77"/>
      <c r="G15" s="78"/>
      <c r="H15" s="79"/>
      <c r="I15" s="80"/>
      <c r="J15" s="81"/>
      <c r="K15" s="82"/>
      <c r="L15" s="83"/>
      <c r="M15" s="78"/>
      <c r="N15" s="84"/>
      <c r="O15" s="80"/>
      <c r="P15" s="81"/>
      <c r="Q15" s="80"/>
      <c r="R15" s="81"/>
      <c r="S15" s="80"/>
      <c r="T15" s="86"/>
    </row>
    <row r="16" spans="1:20" s="3" customFormat="1" ht="18" customHeight="1" x14ac:dyDescent="0.25">
      <c r="A16" s="43" t="s">
        <v>35</v>
      </c>
      <c r="B16" s="44" t="s">
        <v>36</v>
      </c>
      <c r="C16" s="45"/>
      <c r="D16" s="46"/>
      <c r="E16" s="87" t="s">
        <v>37</v>
      </c>
      <c r="F16" s="48">
        <v>1</v>
      </c>
      <c r="G16" s="49">
        <f>VLOOKUP(23559,[1]!qryExcelSlab[#Data],5,FALSE)</f>
        <v>107</v>
      </c>
      <c r="H16" s="50">
        <f>IF(G16=0,0,VLOOKUP(23559,[1]!qryExcelSlab[#Data],4,FALSE))</f>
        <v>17.5</v>
      </c>
      <c r="I16" s="49">
        <f>VLOOKUP(19476,[1]!qryExcelSlab[#Data],5,FALSE)</f>
        <v>25</v>
      </c>
      <c r="J16" s="51">
        <f>IF(I16=0,0,VLOOKUP(19476,[1]!qryExcelSlab[#Data],4,FALSE))</f>
        <v>27</v>
      </c>
      <c r="K16" s="52">
        <f>VLOOKUP(19178,[1]!qryExcelSlab[#Data],5,FALSE)</f>
        <v>0</v>
      </c>
      <c r="L16" s="53">
        <f>IF(K16=0,0,VLOOKUP(19178,[1]!qryExcelSlab[#Data],4,FALSE))</f>
        <v>0</v>
      </c>
      <c r="M16" s="49">
        <f>VLOOKUP(19173,[1]!qryExcelSlab[#Data],5,FALSE)</f>
        <v>39</v>
      </c>
      <c r="N16" s="54">
        <f>IF(M16=0,0,VLOOKUP(19173,[1]!qryExcelSlab[#Data],4,FALSE))</f>
        <v>49</v>
      </c>
      <c r="O16" s="49">
        <f>VLOOKUP(18058,[1]!qryExcelSlab[#Data],5,FALSE)</f>
        <v>16</v>
      </c>
      <c r="P16" s="55">
        <f>IF(O16=0,0,VLOOKUP(18058,[1]!qryExcelSlab[#Data],4,FALSE))</f>
        <v>59</v>
      </c>
      <c r="Q16" s="49">
        <f>VLOOKUP(18108,[1]!qryExcelSlab[#Data],5,FALSE)</f>
        <v>0</v>
      </c>
      <c r="R16" s="55">
        <f>IF(Q16=0,0,VLOOKUP(18108,[1]!qryExcelSlab[#Data],4,FALSE))</f>
        <v>0</v>
      </c>
      <c r="S16" s="49">
        <f>VLOOKUP(18756,[1]!qryExcelSlab[#Data],5,FALSE)</f>
        <v>0</v>
      </c>
      <c r="T16" s="57" t="s">
        <v>24</v>
      </c>
    </row>
    <row r="17" spans="1:20" s="3" customFormat="1" ht="18" customHeight="1" x14ac:dyDescent="0.25">
      <c r="A17" s="93" t="s">
        <v>38</v>
      </c>
      <c r="B17" s="44" t="s">
        <v>36</v>
      </c>
      <c r="C17" s="45"/>
      <c r="D17" s="46" t="s">
        <v>39</v>
      </c>
      <c r="E17" s="87" t="s">
        <v>40</v>
      </c>
      <c r="F17" s="48">
        <v>1</v>
      </c>
      <c r="G17" s="49"/>
      <c r="H17" s="50"/>
      <c r="I17" s="49">
        <f>VLOOKUP(29967,[1]!qryExcelSlab[#Data],5,FALSE)</f>
        <v>124</v>
      </c>
      <c r="J17" s="51">
        <f>IF(I17=0,0,VLOOKUP(29967,[1]!qryExcelSlab[#Data],4,FALSE))</f>
        <v>27</v>
      </c>
      <c r="K17" s="52">
        <f>VLOOKUP(29968,[1]!qryExcelSlab[#Data],5,FALSE)</f>
        <v>63</v>
      </c>
      <c r="L17" s="53">
        <f>IF(K17=0,0,VLOOKUP(29968,[1]!qryExcelSlab[#Data],4,FALSE))</f>
        <v>34</v>
      </c>
      <c r="M17" s="49">
        <f>VLOOKUP(30057,[1]!qryExcelSlab[#Data],5,FALSE)</f>
        <v>36</v>
      </c>
      <c r="N17" s="54">
        <f>IF(M17=0,0,VLOOKUP(30057,[1]!qryExcelSlab[#Data],4,FALSE))</f>
        <v>49</v>
      </c>
      <c r="O17" s="49">
        <f>VLOOKUP(29969,[1]!qryExcelSlab[#Data],5,FALSE)</f>
        <v>0</v>
      </c>
      <c r="P17" s="55">
        <f>IF(O17=0,0,VLOOKUP(29969,[1]!qryExcelSlab[#Data],4,FALSE))</f>
        <v>0</v>
      </c>
      <c r="Q17" s="49">
        <f>VLOOKUP(30634,[1]!qryExcelSlab[#Data],5,FALSE)</f>
        <v>0</v>
      </c>
      <c r="R17" s="55">
        <f>IF(Q17=0,0,VLOOKUP(30634,[1]!qryExcelSlab[#Data],4,FALSE))</f>
        <v>0</v>
      </c>
      <c r="S17" s="49">
        <f>VLOOKUP(30090,[1]!qryExcelSlab[#Data],5,FALSE)</f>
        <v>0</v>
      </c>
      <c r="T17" s="57" t="s">
        <v>24</v>
      </c>
    </row>
    <row r="18" spans="1:20" s="3" customFormat="1" ht="18" customHeight="1" x14ac:dyDescent="0.25">
      <c r="A18" s="93" t="s">
        <v>41</v>
      </c>
      <c r="B18" s="44" t="s">
        <v>36</v>
      </c>
      <c r="C18" s="45"/>
      <c r="D18" s="46" t="s">
        <v>42</v>
      </c>
      <c r="E18" s="87" t="s">
        <v>40</v>
      </c>
      <c r="F18" s="48">
        <v>1</v>
      </c>
      <c r="G18" s="49"/>
      <c r="H18" s="50"/>
      <c r="I18" s="49">
        <f>VLOOKUP(30730,[1]!qryExcelSlab[#Data],5,FALSE)</f>
        <v>12</v>
      </c>
      <c r="J18" s="51">
        <f>IF(I18=0,0,VLOOKUP(30730,[1]!qryExcelSlab[#Data],4,FALSE))</f>
        <v>27</v>
      </c>
      <c r="K18" s="52">
        <f>VLOOKUP(29973,[1]!qryExcelSlab[#Data],5,FALSE)</f>
        <v>8</v>
      </c>
      <c r="L18" s="53">
        <f>IF(K18=0,0,VLOOKUP(29973,[1]!qryExcelSlab[#Data],4,FALSE))</f>
        <v>34</v>
      </c>
      <c r="M18" s="49">
        <f>VLOOKUP(29970,[1]!qryExcelSlab[#Data],5,FALSE)</f>
        <v>76</v>
      </c>
      <c r="N18" s="54">
        <f>IF(M18=0,0,VLOOKUP(29970,[1]!qryExcelSlab[#Data],4,FALSE))</f>
        <v>49</v>
      </c>
      <c r="O18" s="49">
        <f>VLOOKUP(29972,[1]!qryExcelSlab[#Data],5,FALSE)</f>
        <v>16</v>
      </c>
      <c r="P18" s="55">
        <f>IF(O18=0,0,VLOOKUP(29972,[1]!qryExcelSlab[#Data],4,FALSE))</f>
        <v>59</v>
      </c>
      <c r="Q18" s="49">
        <f>VLOOKUP(29971,[1]!qryExcelSlab[#Data],5,FALSE)</f>
        <v>0</v>
      </c>
      <c r="R18" s="55">
        <f>IF(Q18=0,0,VLOOKUP(29971,[1]!qryExcelSlab[#Data],4,FALSE))</f>
        <v>0</v>
      </c>
      <c r="S18" s="49">
        <f>VLOOKUP(30082,[1]!qryExcelSlab[#Data],5,FALSE)</f>
        <v>0</v>
      </c>
      <c r="T18" s="57" t="s">
        <v>24</v>
      </c>
    </row>
    <row r="19" spans="1:20" s="3" customFormat="1" ht="18" customHeight="1" x14ac:dyDescent="0.25">
      <c r="A19" s="28"/>
      <c r="B19" s="73"/>
      <c r="C19" s="94"/>
      <c r="D19" s="73"/>
      <c r="E19" s="73"/>
      <c r="F19" s="73"/>
      <c r="G19" s="78"/>
      <c r="H19" s="79"/>
      <c r="I19" s="80"/>
      <c r="J19" s="81"/>
      <c r="K19" s="95"/>
      <c r="L19" s="83"/>
      <c r="M19" s="78"/>
      <c r="N19" s="84"/>
      <c r="O19" s="78"/>
      <c r="P19" s="81"/>
      <c r="Q19" s="78"/>
      <c r="R19" s="81"/>
      <c r="S19" s="80"/>
      <c r="T19" s="86"/>
    </row>
    <row r="20" spans="1:20" s="3" customFormat="1" ht="18" customHeight="1" x14ac:dyDescent="0.25">
      <c r="A20" s="43" t="s">
        <v>43</v>
      </c>
      <c r="B20" s="44" t="s">
        <v>44</v>
      </c>
      <c r="C20" s="45"/>
      <c r="D20" s="46" t="s">
        <v>45</v>
      </c>
      <c r="E20" s="92" t="s">
        <v>31</v>
      </c>
      <c r="F20" s="88">
        <v>5</v>
      </c>
      <c r="G20" s="49">
        <f>VLOOKUP(30178,[1]!qryExcelSlab[#Data],5,FALSE)</f>
        <v>0</v>
      </c>
      <c r="H20" s="50">
        <f>IF(G20=0,0,VLOOKUP(30178,[1]!qryExcelSlab[#Data],4,FALSE))</f>
        <v>0</v>
      </c>
      <c r="I20" s="49">
        <f>VLOOKUP(22607,[1]!qryExcelSlab[#Data],5,FALSE)</f>
        <v>0</v>
      </c>
      <c r="J20" s="51">
        <f>IF(I20=0,0,VLOOKUP(22607,[1]!qryExcelSlab[#Data],4,FALSE))</f>
        <v>0</v>
      </c>
      <c r="K20" s="52">
        <f>VLOOKUP(22606,[1]!qryExcelSlab[#Data],5,FALSE)</f>
        <v>8</v>
      </c>
      <c r="L20" s="90">
        <f>IF(K20=0,0,VLOOKUP(22606,[1]!qryExcelSlab[#Data],4,FALSE))</f>
        <v>57</v>
      </c>
      <c r="M20" s="49">
        <f>VLOOKUP(22605,[1]!qryExcelSlab[#Data],5,FALSE)</f>
        <v>4</v>
      </c>
      <c r="N20" s="91">
        <f>IF(M20=0,0,VLOOKUP(22605,[1]!qryExcelSlab[#Data],4,FALSE))</f>
        <v>67</v>
      </c>
      <c r="O20" s="49">
        <f>VLOOKUP(23025,[1]!qryExcelSlab[#Data],5,FALSE)</f>
        <v>0</v>
      </c>
      <c r="P20" s="90">
        <f>IF(O20=0,0,VLOOKUP(23025,[1]!qryExcelSlab[#Data],4,FALSE))</f>
        <v>0</v>
      </c>
      <c r="Q20" s="56"/>
      <c r="R20" s="51" t="s">
        <v>3</v>
      </c>
      <c r="S20" s="56"/>
      <c r="T20" s="57" t="s">
        <v>24</v>
      </c>
    </row>
    <row r="21" spans="1:20" s="3" customFormat="1" ht="18" customHeight="1" x14ac:dyDescent="0.25">
      <c r="A21" s="28"/>
      <c r="B21" s="73"/>
      <c r="C21" s="74"/>
      <c r="D21" s="75"/>
      <c r="E21" s="76"/>
      <c r="F21" s="77"/>
      <c r="G21" s="78"/>
      <c r="H21" s="79"/>
      <c r="I21" s="78"/>
      <c r="J21" s="81"/>
      <c r="K21" s="95"/>
      <c r="L21" s="83"/>
      <c r="M21" s="78"/>
      <c r="N21" s="84"/>
      <c r="O21" s="80"/>
      <c r="P21" s="81"/>
      <c r="Q21" s="80"/>
      <c r="R21" s="81"/>
      <c r="S21" s="80"/>
      <c r="T21" s="86"/>
    </row>
    <row r="22" spans="1:20" s="3" customFormat="1" ht="18" customHeight="1" x14ac:dyDescent="0.25">
      <c r="A22" s="43" t="s">
        <v>46</v>
      </c>
      <c r="B22" s="44" t="s">
        <v>47</v>
      </c>
      <c r="C22" s="45"/>
      <c r="D22" s="46" t="s">
        <v>48</v>
      </c>
      <c r="E22" s="87" t="s">
        <v>31</v>
      </c>
      <c r="F22" s="48">
        <v>2</v>
      </c>
      <c r="G22" s="49">
        <f>VLOOKUP(23175,[1]!qryExcelSlab[#Data],5,FALSE)</f>
        <v>0</v>
      </c>
      <c r="H22" s="50">
        <f>IF(G22=0,0,VLOOKUP(23175,[1]!qryExcelSlab[#Data],4,FALSE))</f>
        <v>0</v>
      </c>
      <c r="I22" s="49">
        <f>VLOOKUP(19180,[1]!qryExcelSlab[#Data],5,FALSE)</f>
        <v>26</v>
      </c>
      <c r="J22" s="51">
        <f>IF(I22=0,0,VLOOKUP(19180,[1]!qryExcelSlab[#Data],4,FALSE))</f>
        <v>30</v>
      </c>
      <c r="K22" s="52">
        <f>VLOOKUP(18768,[1]!qryExcelSlab[#Data],5,FALSE)</f>
        <v>37</v>
      </c>
      <c r="L22" s="53">
        <f>IF(K22=0,0,VLOOKUP(18768,[1]!qryExcelSlab[#Data],4,FALSE))</f>
        <v>39</v>
      </c>
      <c r="M22" s="49">
        <f>VLOOKUP(18766,[1]!qryExcelSlab[#Data],5,FALSE)</f>
        <v>55</v>
      </c>
      <c r="N22" s="54">
        <f>IF(M22=0,0,VLOOKUP(18766,[1]!qryExcelSlab[#Data],4,FALSE))</f>
        <v>49</v>
      </c>
      <c r="O22" s="49">
        <f>VLOOKUP(18121,[1]!qryExcelSlab[#Data],5,FALSE)</f>
        <v>30</v>
      </c>
      <c r="P22" s="55">
        <f>IF(O22=0,0,VLOOKUP(18121,[1]!qryExcelSlab[#Data],4,FALSE))</f>
        <v>63</v>
      </c>
      <c r="Q22" s="49">
        <f>VLOOKUP(18119,[1]!qryExcelSlab[#Data],5,FALSE)</f>
        <v>7</v>
      </c>
      <c r="R22" s="55">
        <f>IF(Q22=0,0,VLOOKUP(18119,[1]!qryExcelSlab[#Data],4,FALSE))</f>
        <v>68</v>
      </c>
      <c r="S22" s="49">
        <f>VLOOKUP(19557,[1]!qryExcelSlab[#Data],5,FALSE)</f>
        <v>0</v>
      </c>
      <c r="T22" s="57" t="s">
        <v>24</v>
      </c>
    </row>
    <row r="23" spans="1:20" s="3" customFormat="1" ht="18" customHeight="1" x14ac:dyDescent="0.25">
      <c r="A23" s="28"/>
      <c r="B23" s="73"/>
      <c r="C23" s="74"/>
      <c r="D23" s="75"/>
      <c r="E23" s="76"/>
      <c r="F23" s="77"/>
      <c r="G23" s="78"/>
      <c r="H23" s="79"/>
      <c r="I23" s="78"/>
      <c r="J23" s="81"/>
      <c r="K23" s="95"/>
      <c r="L23" s="83"/>
      <c r="M23" s="78"/>
      <c r="N23" s="84"/>
      <c r="O23" s="78"/>
      <c r="P23" s="81"/>
      <c r="Q23" s="78"/>
      <c r="R23" s="81"/>
      <c r="S23" s="80"/>
      <c r="T23" s="86"/>
    </row>
    <row r="24" spans="1:20" s="3" customFormat="1" ht="18" customHeight="1" x14ac:dyDescent="0.25">
      <c r="A24" s="43" t="s">
        <v>49</v>
      </c>
      <c r="B24" s="44" t="s">
        <v>50</v>
      </c>
      <c r="C24" s="45"/>
      <c r="D24" s="46" t="s">
        <v>51</v>
      </c>
      <c r="E24" s="92" t="s">
        <v>40</v>
      </c>
      <c r="F24" s="96">
        <v>1</v>
      </c>
      <c r="G24" s="49">
        <f>VLOOKUP(23455,[1]!qryExcelSlab[#Data],5,FALSE)</f>
        <v>43</v>
      </c>
      <c r="H24" s="50">
        <f>IF(G24=0,0,VLOOKUP(23455,[1]!qryExcelSlab[#Data],4,FALSE))</f>
        <v>17.5</v>
      </c>
      <c r="I24" s="49">
        <f>VLOOKUP(23023,[1]!qryExcelSlab[#Data],5,FALSE)</f>
        <v>0</v>
      </c>
      <c r="J24" s="51">
        <f>IF(I24=0,0,VLOOKUP(23023,[1]!qryExcelSlab[#Data],4,FALSE))</f>
        <v>0</v>
      </c>
      <c r="K24" s="52">
        <f>VLOOKUP(19757,[1]!qryExcelSlab[#Data],5,FALSE)</f>
        <v>0</v>
      </c>
      <c r="L24" s="90">
        <f>IF(K24=0,0,VLOOKUP(19757,[1]!qryExcelSlab[#Data],4,FALSE))</f>
        <v>0</v>
      </c>
      <c r="M24" s="49">
        <f>VLOOKUP(18772,[1]!qryExcelSlab[#Data],5,FALSE)</f>
        <v>52</v>
      </c>
      <c r="N24" s="97">
        <f>IF(M24=0,0,VLOOKUP(18772,[1]!qryExcelSlab[#Data],4,FALSE))</f>
        <v>49</v>
      </c>
      <c r="O24" s="49">
        <f>VLOOKUP(18126,[1]!qryExcelSlab[#Data],5,FALSE)</f>
        <v>17</v>
      </c>
      <c r="P24" s="51">
        <f>IF(O24=0,0,VLOOKUP(18126,[1]!qryExcelSlab[#Data],4,FALSE))</f>
        <v>59</v>
      </c>
      <c r="Q24" s="49">
        <f>VLOOKUP(18125,[1]!qryExcelSlab[#Data],5,FALSE)</f>
        <v>0</v>
      </c>
      <c r="R24" s="51">
        <f>IF(Q24=0,0,VLOOKUP(18125,[1]!qryExcelSlab[#Data],4,FALSE))</f>
        <v>0</v>
      </c>
      <c r="S24" s="49">
        <f>VLOOKUP(23024,[1]!qryExcelSlab[#Data],5,FALSE)</f>
        <v>0</v>
      </c>
      <c r="T24" s="57" t="s">
        <v>24</v>
      </c>
    </row>
    <row r="25" spans="1:20" s="3" customFormat="1" ht="18" customHeight="1" x14ac:dyDescent="0.25">
      <c r="A25" s="98" t="s">
        <v>41</v>
      </c>
      <c r="B25" s="44" t="s">
        <v>50</v>
      </c>
      <c r="C25" s="45"/>
      <c r="D25" s="46" t="s">
        <v>42</v>
      </c>
      <c r="E25" s="92" t="s">
        <v>40</v>
      </c>
      <c r="F25" s="96">
        <v>1</v>
      </c>
      <c r="G25" s="49"/>
      <c r="H25" s="50">
        <f>IF(G25=0,0,7.5)</f>
        <v>0</v>
      </c>
      <c r="I25" s="49">
        <f>VLOOKUP(30338,[1]!qryExcelSlab[#Data],5,FALSE)</f>
        <v>1</v>
      </c>
      <c r="J25" s="51">
        <f>IF(I25=0,0,VLOOKUP(30338,[1]!qryExcelSlab[#Data],4,FALSE))</f>
        <v>27</v>
      </c>
      <c r="K25" s="52">
        <f>VLOOKUP(30337,[1]!qryExcelSlab[#Data],5,FALSE)</f>
        <v>10</v>
      </c>
      <c r="L25" s="90">
        <f>IF(K25=0,0,VLOOKUP(30337,[1]!qryExcelSlab[#Data],4,FALSE))</f>
        <v>34</v>
      </c>
      <c r="M25" s="49">
        <f>VLOOKUP(29974,[1]!qryExcelSlab[#Data],5,FALSE)</f>
        <v>30</v>
      </c>
      <c r="N25" s="97">
        <f>IF(M25=0,0,VLOOKUP(29974,[1]!qryExcelSlab[#Data],4,FALSE))</f>
        <v>49</v>
      </c>
      <c r="O25" s="49">
        <f>VLOOKUP(29975,[1]!qryExcelSlab[#Data],5,FALSE)</f>
        <v>29</v>
      </c>
      <c r="P25" s="51">
        <f>IF(O25=0,0,VLOOKUP(29975,[1]!qryExcelSlab[#Data],4,FALSE))</f>
        <v>59</v>
      </c>
      <c r="Q25" s="49">
        <f>VLOOKUP(29976,[1]!qryExcelSlab[#Data],5,FALSE)</f>
        <v>31</v>
      </c>
      <c r="R25" s="51">
        <f>IF(Q25=0,0,VLOOKUP(29976,[1]!qryExcelSlab[#Data],4,FALSE))</f>
        <v>64</v>
      </c>
      <c r="S25" s="49"/>
      <c r="T25" s="57" t="s">
        <v>24</v>
      </c>
    </row>
    <row r="26" spans="1:20" s="3" customFormat="1" ht="18" customHeight="1" x14ac:dyDescent="0.25">
      <c r="A26" s="28"/>
      <c r="B26" s="73"/>
      <c r="C26" s="74"/>
      <c r="D26" s="75"/>
      <c r="E26" s="76"/>
      <c r="F26" s="77"/>
      <c r="G26" s="78"/>
      <c r="H26" s="79"/>
      <c r="I26" s="78"/>
      <c r="J26" s="81"/>
      <c r="K26" s="95"/>
      <c r="L26" s="83"/>
      <c r="M26" s="78"/>
      <c r="N26" s="84"/>
      <c r="O26" s="78"/>
      <c r="P26" s="81"/>
      <c r="Q26" s="78"/>
      <c r="R26" s="81"/>
      <c r="S26" s="80"/>
      <c r="T26" s="86"/>
    </row>
    <row r="27" spans="1:20" s="3" customFormat="1" ht="18" customHeight="1" x14ac:dyDescent="0.25">
      <c r="A27" s="43" t="s">
        <v>52</v>
      </c>
      <c r="B27" s="44" t="s">
        <v>53</v>
      </c>
      <c r="C27" s="45"/>
      <c r="D27" s="46" t="s">
        <v>54</v>
      </c>
      <c r="E27" s="92" t="s">
        <v>31</v>
      </c>
      <c r="F27" s="96">
        <v>2</v>
      </c>
      <c r="G27" s="49">
        <f>VLOOKUP(23934,[1]!qryExcelSlab[#Data],5,FALSE)</f>
        <v>0</v>
      </c>
      <c r="H27" s="50">
        <f>IF(G27=0,0,VLOOKUP(23934,[1]!qryExcelSlab[#Data],4,FALSE))</f>
        <v>0</v>
      </c>
      <c r="I27" s="49">
        <f>VLOOKUP(18965,[1]!qryExcelSlab[#Data],5,FALSE)</f>
        <v>14</v>
      </c>
      <c r="J27" s="51">
        <f>IF(I27=0,0,VLOOKUP(18965,[1]!qryExcelSlab[#Data],4,FALSE))</f>
        <v>30</v>
      </c>
      <c r="K27" s="52">
        <f>VLOOKUP(18777,[1]!qryExcelSlab[#Data],5,FALSE)</f>
        <v>39</v>
      </c>
      <c r="L27" s="90">
        <f>IF(K27=0,0,VLOOKUP(18777,[1]!qryExcelSlab[#Data],4,FALSE))</f>
        <v>39</v>
      </c>
      <c r="M27" s="49">
        <f>VLOOKUP(18054,[1]!qryExcelSlab[#Data],5,FALSE)</f>
        <v>31</v>
      </c>
      <c r="N27" s="97">
        <f>IF(M27=0,0,VLOOKUP(18054,[1]!qryExcelSlab[#Data],4,FALSE))</f>
        <v>53</v>
      </c>
      <c r="O27" s="49">
        <f>VLOOKUP(18102,[1]!qryExcelSlab[#Data],5,FALSE)</f>
        <v>9</v>
      </c>
      <c r="P27" s="51">
        <f>IF(O27=0,0,VLOOKUP(18102,[1]!qryExcelSlab[#Data],4,FALSE))</f>
        <v>63</v>
      </c>
      <c r="Q27" s="49"/>
      <c r="R27" s="51" t="s">
        <v>3</v>
      </c>
      <c r="S27" s="56"/>
      <c r="T27" s="99" t="s">
        <v>24</v>
      </c>
    </row>
    <row r="28" spans="1:20" s="3" customFormat="1" ht="18" customHeight="1" x14ac:dyDescent="0.25">
      <c r="A28" s="28"/>
      <c r="B28" s="73"/>
      <c r="C28" s="74"/>
      <c r="D28" s="75"/>
      <c r="E28" s="76"/>
      <c r="F28" s="77"/>
      <c r="G28" s="78"/>
      <c r="H28" s="79"/>
      <c r="I28" s="78"/>
      <c r="J28" s="81"/>
      <c r="K28" s="95"/>
      <c r="L28" s="83"/>
      <c r="M28" s="78"/>
      <c r="N28" s="84"/>
      <c r="O28" s="78"/>
      <c r="P28" s="81"/>
      <c r="Q28" s="78"/>
      <c r="R28" s="81"/>
      <c r="S28" s="80"/>
      <c r="T28" s="86"/>
    </row>
    <row r="29" spans="1:20" s="3" customFormat="1" ht="18" customHeight="1" x14ac:dyDescent="0.25">
      <c r="A29" s="43" t="s">
        <v>55</v>
      </c>
      <c r="B29" s="44" t="s">
        <v>56</v>
      </c>
      <c r="C29" s="74"/>
      <c r="D29" s="46" t="s">
        <v>48</v>
      </c>
      <c r="E29" s="87" t="s">
        <v>37</v>
      </c>
      <c r="F29" s="48">
        <v>1</v>
      </c>
      <c r="G29" s="49">
        <f>VLOOKUP(23557,[1]!qryExcelSlab[#Data],5,FALSE)</f>
        <v>113</v>
      </c>
      <c r="H29" s="50">
        <f>IF(G29=0,0,VLOOKUP(23557,[1]!qryExcelSlab[#Data],4,FALSE))</f>
        <v>17.5</v>
      </c>
      <c r="I29" s="49">
        <f>VLOOKUP(19183,[1]!qryExcelSlab[#Data],5,FALSE)</f>
        <v>2</v>
      </c>
      <c r="J29" s="51">
        <f>IF(I29=0,0,VLOOKUP(19183,[1]!qryExcelSlab[#Data],4,FALSE))</f>
        <v>27</v>
      </c>
      <c r="K29" s="52">
        <f>VLOOKUP(18782,[1]!qryExcelSlab[#Data],5,FALSE)</f>
        <v>154</v>
      </c>
      <c r="L29" s="53">
        <f>IF(K29=0,0,VLOOKUP(18782,[1]!qryExcelSlab[#Data],4,FALSE))</f>
        <v>34</v>
      </c>
      <c r="M29" s="49">
        <f>VLOOKUP(18051,[1]!qryExcelSlab[#Data],5,FALSE)</f>
        <v>72</v>
      </c>
      <c r="N29" s="54">
        <f>IF(M29=0,0,VLOOKUP(18051,[1]!qryExcelSlab[#Data],4,FALSE))</f>
        <v>49</v>
      </c>
      <c r="O29" s="49">
        <f>VLOOKUP(18110,[1]!qryExcelSlab[#Data],5,FALSE)</f>
        <v>89</v>
      </c>
      <c r="P29" s="55">
        <f>IF(O29=0,0,VLOOKUP(18110,[1]!qryExcelSlab[#Data],4,FALSE))</f>
        <v>59</v>
      </c>
      <c r="Q29" s="49">
        <f>VLOOKUP(18780,[1]!qryExcelSlab[#Data],5,FALSE)</f>
        <v>0</v>
      </c>
      <c r="R29" s="55">
        <f>IF(Q29=0,0,VLOOKUP(18780,[1]!qryExcelSlab[#Data],4,FALSE))</f>
        <v>0</v>
      </c>
      <c r="S29" s="56">
        <f>VLOOKUP(19132,[1]!qryExcelSlab[#Data],5,FALSE)</f>
        <v>0</v>
      </c>
      <c r="T29" s="57" t="s">
        <v>24</v>
      </c>
    </row>
    <row r="30" spans="1:20" s="3" customFormat="1" ht="18" customHeight="1" x14ac:dyDescent="0.25">
      <c r="A30" s="28"/>
      <c r="B30" s="73"/>
      <c r="C30" s="74"/>
      <c r="D30" s="75"/>
      <c r="E30" s="76"/>
      <c r="F30" s="77"/>
      <c r="G30" s="78"/>
      <c r="H30" s="79"/>
      <c r="I30" s="78"/>
      <c r="J30" s="81"/>
      <c r="K30" s="100"/>
      <c r="L30" s="83"/>
      <c r="M30" s="78"/>
      <c r="N30" s="84"/>
      <c r="O30" s="78"/>
      <c r="P30" s="81"/>
      <c r="Q30" s="78"/>
      <c r="R30" s="81"/>
      <c r="S30" s="80"/>
      <c r="T30" s="86"/>
    </row>
    <row r="31" spans="1:20" s="3" customFormat="1" ht="18" customHeight="1" x14ac:dyDescent="0.25">
      <c r="A31" s="43" t="s">
        <v>57</v>
      </c>
      <c r="B31" s="44" t="s">
        <v>58</v>
      </c>
      <c r="C31" s="74"/>
      <c r="D31" s="46" t="s">
        <v>48</v>
      </c>
      <c r="E31" s="87" t="s">
        <v>37</v>
      </c>
      <c r="F31" s="48">
        <v>1</v>
      </c>
      <c r="G31" s="49">
        <f>VLOOKUP(23561,[1]!qryExcelSlab[#Data],5,FALSE)</f>
        <v>66</v>
      </c>
      <c r="H31" s="50">
        <f>IF(G31=0,0,VLOOKUP(23561,[1]!qryExcelSlab[#Data],4,FALSE))</f>
        <v>17.5</v>
      </c>
      <c r="I31" s="49">
        <f>VLOOKUP(19185,[1]!qryExcelSlab[#Data],5,FALSE)</f>
        <v>40</v>
      </c>
      <c r="J31" s="51">
        <f>IF(I31=0,0,IF(I31=0,0,VLOOKUP(19185,[1]!qryExcelSlab[#Data],4,FALSE)))</f>
        <v>27</v>
      </c>
      <c r="K31" s="52">
        <f>VLOOKUP(19187,[1]!qryExcelSlab[#Data],5,FALSE)</f>
        <v>128</v>
      </c>
      <c r="L31" s="53">
        <f>IF(K31=0,0,VLOOKUP(19187,[1]!qryExcelSlab[#Data],4,FALSE))</f>
        <v>34</v>
      </c>
      <c r="M31" s="49">
        <f>VLOOKUP(18057,[1]!qryExcelSlab[#Data],5,FALSE)</f>
        <v>95</v>
      </c>
      <c r="N31" s="54">
        <f>IF(M31=0,0,VLOOKUP(18057,[1]!qryExcelSlab[#Data],4,FALSE))</f>
        <v>49</v>
      </c>
      <c r="O31" s="49">
        <f>VLOOKUP(18106,[1]!qryExcelSlab[#Data],5,FALSE)</f>
        <v>65</v>
      </c>
      <c r="P31" s="55">
        <f>IF(O31=0,0,VLOOKUP(18106,[1]!qryExcelSlab[#Data],4,FALSE))</f>
        <v>59</v>
      </c>
      <c r="Q31" s="49">
        <f>VLOOKUP(18790,[1]!qryExcelSlab[#Data],5,FALSE)</f>
        <v>1</v>
      </c>
      <c r="R31" s="55">
        <f>IF(Q31=0,0,VLOOKUP(18790,[1]!qryExcelSlab[#Data],4,FALSE))</f>
        <v>64</v>
      </c>
      <c r="S31" s="49">
        <f>VLOOKUP(18791,[1]!qryExcelSlab[#Data],5,FALSE)</f>
        <v>0</v>
      </c>
      <c r="T31" s="57" t="s">
        <v>24</v>
      </c>
    </row>
    <row r="32" spans="1:20" s="3" customFormat="1" ht="18" customHeight="1" x14ac:dyDescent="0.25">
      <c r="A32" s="28"/>
      <c r="B32" s="73"/>
      <c r="C32" s="74"/>
      <c r="D32" s="75"/>
      <c r="E32" s="76"/>
      <c r="F32" s="77"/>
      <c r="G32" s="78"/>
      <c r="H32" s="79"/>
      <c r="I32" s="78"/>
      <c r="J32" s="81"/>
      <c r="K32" s="95"/>
      <c r="L32" s="83"/>
      <c r="M32" s="78"/>
      <c r="N32" s="84"/>
      <c r="O32" s="78"/>
      <c r="P32" s="81"/>
      <c r="Q32" s="80"/>
      <c r="R32" s="81"/>
      <c r="S32" s="80"/>
      <c r="T32" s="86"/>
    </row>
    <row r="33" spans="1:21" s="3" customFormat="1" ht="18" customHeight="1" x14ac:dyDescent="0.25">
      <c r="A33" s="43" t="s">
        <v>59</v>
      </c>
      <c r="B33" s="44" t="s">
        <v>60</v>
      </c>
      <c r="C33" s="45"/>
      <c r="D33" s="46" t="s">
        <v>54</v>
      </c>
      <c r="E33" s="87" t="s">
        <v>37</v>
      </c>
      <c r="F33" s="48">
        <v>3</v>
      </c>
      <c r="G33" s="49">
        <f>VLOOKUP(30060,[1]!qryExcelSlab[#Data],5,FALSE)</f>
        <v>0</v>
      </c>
      <c r="H33" s="50">
        <f>IF(G33=0,0,VLOOKUP(30060,[1]!qryExcelSlab[#Data],4,FALSE))</f>
        <v>0</v>
      </c>
      <c r="I33" s="49">
        <f>VLOOKUP(19755,[1]!qryExcelSlab[#Data],5,FALSE)</f>
        <v>27</v>
      </c>
      <c r="J33" s="51">
        <f>IF(I33=0,0,IF(I33=0,0,VLOOKUP(19755,[1]!qryExcelSlab[#Data],4,FALSE)))</f>
        <v>37</v>
      </c>
      <c r="K33" s="52">
        <f>VLOOKUP(18122,[1]!qryExcelSlab[#Data],5,FALSE)</f>
        <v>37</v>
      </c>
      <c r="L33" s="53">
        <f>IF(K33=0,0,VLOOKUP(18122,[1]!qryExcelSlab[#Data],4,FALSE))</f>
        <v>47</v>
      </c>
      <c r="M33" s="49">
        <f>VLOOKUP(18049,[1]!qryExcelSlab[#Data],5,FALSE)</f>
        <v>1</v>
      </c>
      <c r="N33" s="54">
        <f>IF(M33=0,0,VLOOKUP(18049,[1]!qryExcelSlab[#Data],4,FALSE))</f>
        <v>59</v>
      </c>
      <c r="O33" s="49">
        <f>VLOOKUP(18120,[1]!qryExcelSlab[#Data],5,FALSE)</f>
        <v>-1</v>
      </c>
      <c r="P33" s="55">
        <f>IF(O33=0,0,VLOOKUP(18120,[1]!qryExcelSlab[#Data],4,FALSE))</f>
        <v>69</v>
      </c>
      <c r="Q33" s="56"/>
      <c r="R33" s="55" t="s">
        <v>3</v>
      </c>
      <c r="S33" s="56"/>
      <c r="T33" s="57" t="s">
        <v>24</v>
      </c>
    </row>
    <row r="34" spans="1:21" s="3" customFormat="1" ht="18" customHeight="1" x14ac:dyDescent="0.25">
      <c r="A34" s="28"/>
      <c r="B34" s="73"/>
      <c r="C34" s="74"/>
      <c r="D34" s="75"/>
      <c r="E34" s="76"/>
      <c r="F34" s="77"/>
      <c r="G34" s="78"/>
      <c r="H34" s="79"/>
      <c r="I34" s="78"/>
      <c r="J34" s="81"/>
      <c r="K34" s="95"/>
      <c r="L34" s="83"/>
      <c r="M34" s="78"/>
      <c r="N34" s="84"/>
      <c r="O34" s="78"/>
      <c r="P34" s="81"/>
      <c r="Q34" s="80"/>
      <c r="R34" s="81"/>
      <c r="S34" s="80"/>
      <c r="T34" s="86"/>
    </row>
    <row r="35" spans="1:21" s="3" customFormat="1" ht="18" customHeight="1" x14ac:dyDescent="0.25">
      <c r="A35" s="43" t="s">
        <v>61</v>
      </c>
      <c r="B35" s="44" t="s">
        <v>62</v>
      </c>
      <c r="C35" s="45"/>
      <c r="D35" s="46" t="s">
        <v>48</v>
      </c>
      <c r="E35" s="87" t="s">
        <v>37</v>
      </c>
      <c r="F35" s="48">
        <v>1</v>
      </c>
      <c r="G35" s="49">
        <f>VLOOKUP(23560,[1]!qryExcelSlab[#Data],5,FALSE)</f>
        <v>0</v>
      </c>
      <c r="H35" s="50">
        <f>IF(G35=0,0,VLOOKUP(23560,[1]!qryExcelSlab[#Data],4,FALSE))</f>
        <v>0</v>
      </c>
      <c r="I35" s="49">
        <f>VLOOKUP(19188,[1]!qryExcelSlab[#Data],5,FALSE)</f>
        <v>0</v>
      </c>
      <c r="J35" s="51">
        <f>IF(I35=0,0,VLOOKUP(19188,[1]!qryExcelSlab[#Data],4,FALSE))</f>
        <v>0</v>
      </c>
      <c r="K35" s="52">
        <f>VLOOKUP(19190,[1]!qryExcelSlab[#Data],5,FALSE)</f>
        <v>80</v>
      </c>
      <c r="L35" s="53">
        <f>IF(K35=0,0,VLOOKUP(19190,[1]!qryExcelSlab[#Data],4,FALSE))</f>
        <v>34</v>
      </c>
      <c r="M35" s="49">
        <f>VLOOKUP(18118,[1]!qryExcelSlab[#Data],5,FALSE)</f>
        <v>108</v>
      </c>
      <c r="N35" s="54">
        <f>IF(M35=0,0,VLOOKUP(18118,[1]!qryExcelSlab[#Data],4,FALSE))</f>
        <v>49</v>
      </c>
      <c r="O35" s="49">
        <f>VLOOKUP(18053,[1]!qryExcelSlab[#Data],5,FALSE)</f>
        <v>43</v>
      </c>
      <c r="P35" s="55">
        <f>IF(O35=0,0,VLOOKUP(18053,[1]!qryExcelSlab[#Data],4,FALSE))</f>
        <v>59</v>
      </c>
      <c r="Q35" s="49">
        <f>VLOOKUP(18786,[1]!qryExcelSlab[#Data],5,FALSE)</f>
        <v>0</v>
      </c>
      <c r="R35" s="55">
        <f>IF(Q35=0,0,VLOOKUP(18786,[1]!qryExcelSlab[#Data],4,FALSE))</f>
        <v>0</v>
      </c>
      <c r="S35" s="49">
        <f>VLOOKUP(18788,[1]!qryExcelSlab[#Data],5,FALSE)</f>
        <v>0</v>
      </c>
      <c r="T35" s="57" t="s">
        <v>24</v>
      </c>
    </row>
    <row r="36" spans="1:21" s="3" customFormat="1" ht="18" customHeight="1" x14ac:dyDescent="0.25">
      <c r="A36" s="28"/>
      <c r="B36" s="73"/>
      <c r="C36" s="74"/>
      <c r="D36" s="75"/>
      <c r="E36" s="76"/>
      <c r="F36" s="77"/>
      <c r="G36" s="78"/>
      <c r="H36" s="79"/>
      <c r="I36" s="78"/>
      <c r="J36" s="81"/>
      <c r="K36" s="95"/>
      <c r="L36" s="83"/>
      <c r="M36" s="78"/>
      <c r="N36" s="84"/>
      <c r="O36" s="78"/>
      <c r="P36" s="81"/>
      <c r="Q36" s="80"/>
      <c r="R36" s="81"/>
      <c r="S36" s="80"/>
      <c r="T36" s="86"/>
    </row>
    <row r="37" spans="1:21" s="3" customFormat="1" ht="18" customHeight="1" x14ac:dyDescent="0.25">
      <c r="A37" s="101" t="s">
        <v>61</v>
      </c>
      <c r="B37" s="44" t="s">
        <v>63</v>
      </c>
      <c r="C37" s="45"/>
      <c r="D37" s="46" t="s">
        <v>64</v>
      </c>
      <c r="E37" s="87" t="s">
        <v>37</v>
      </c>
      <c r="F37" s="48">
        <v>1</v>
      </c>
      <c r="G37" s="49">
        <f>VLOOKUP(30786,[1]!qryExcelSlab[#Data],5,FALSE)</f>
        <v>42</v>
      </c>
      <c r="H37" s="50">
        <f>IF(G37=0,0,VLOOKUP(30786,[1]!qryExcelSlab[#Data],4,FALSE))</f>
        <v>17.5</v>
      </c>
      <c r="I37" s="49">
        <f>VLOOKUP(30045,[1]!qryExcelSlab[#Data],5,FALSE)</f>
        <v>0</v>
      </c>
      <c r="J37" s="51">
        <f>IF(I37=0,0,VLOOKUP(30045,[1]!qryExcelSlab[#Data],4,FALSE))</f>
        <v>0</v>
      </c>
      <c r="K37" s="52">
        <f>VLOOKUP(30046,[1]!qryExcelSlab[#Data],5,FALSE)</f>
        <v>1</v>
      </c>
      <c r="L37" s="53">
        <f>IF(K37=0,0,VLOOKUP(30046,[1]!qryExcelSlab[#Data],4,FALSE))</f>
        <v>34</v>
      </c>
      <c r="M37" s="49">
        <f>VLOOKUP(30497,[1]!qryExcelSlab[#Data],5,FALSE)</f>
        <v>2</v>
      </c>
      <c r="N37" s="54">
        <f>IF(M37=0,0,VLOOKUP(30497,[1]!qryExcelSlab[#Data],4,FALSE))</f>
        <v>49</v>
      </c>
      <c r="O37" s="49">
        <f>VLOOKUP(30498,[1]!qryExcelSlab[#Data],5,FALSE)</f>
        <v>5</v>
      </c>
      <c r="P37" s="55">
        <f>IF(O37=0,0,VLOOKUP(30498,[1]!qryExcelSlab[#Data],4,FALSE))</f>
        <v>59</v>
      </c>
      <c r="Q37" s="49">
        <f>VLOOKUP(30637,[1]!qryExcelSlab[#Data],5,FALSE)</f>
        <v>0</v>
      </c>
      <c r="R37" s="55">
        <f>VLOOKUP(30637,[1]!qryExcelSlab[#Data],5,FALSE)</f>
        <v>0</v>
      </c>
      <c r="S37" s="49"/>
      <c r="T37" s="57" t="s">
        <v>24</v>
      </c>
    </row>
    <row r="38" spans="1:21" s="3" customFormat="1" ht="18" customHeight="1" x14ac:dyDescent="0.25">
      <c r="A38" s="28"/>
      <c r="B38" s="73"/>
      <c r="C38" s="74"/>
      <c r="D38" s="75"/>
      <c r="E38" s="76"/>
      <c r="F38" s="77"/>
      <c r="G38" s="78"/>
      <c r="H38" s="79"/>
      <c r="I38" s="78"/>
      <c r="J38" s="81"/>
      <c r="K38" s="95"/>
      <c r="L38" s="83"/>
      <c r="M38" s="78"/>
      <c r="N38" s="84"/>
      <c r="O38" s="78"/>
      <c r="P38" s="81"/>
      <c r="Q38" s="80"/>
      <c r="R38" s="81"/>
      <c r="S38" s="80"/>
      <c r="T38" s="86"/>
    </row>
    <row r="39" spans="1:21" s="3" customFormat="1" ht="18" customHeight="1" x14ac:dyDescent="0.25">
      <c r="A39" s="43" t="s">
        <v>65</v>
      </c>
      <c r="B39" s="44" t="s">
        <v>66</v>
      </c>
      <c r="C39" s="74"/>
      <c r="D39" s="46" t="s">
        <v>54</v>
      </c>
      <c r="E39" s="87" t="s">
        <v>40</v>
      </c>
      <c r="F39" s="96">
        <v>2</v>
      </c>
      <c r="G39" s="49">
        <f>VLOOKUP(23456,[1]!qryExcelSlab[#Data],5,FALSE)</f>
        <v>88</v>
      </c>
      <c r="H39" s="50">
        <f>IF(G39=0,0,VLOOKUP(23456,[1]!qryExcelSlab[#Data],4,FALSE))</f>
        <v>17.5</v>
      </c>
      <c r="I39" s="49">
        <f>VLOOKUP(30000,[1]!qryExcelSlab[#Data],5,FALSE)</f>
        <v>28</v>
      </c>
      <c r="J39" s="51">
        <f>IF(I39=0,0,IF(I39=0,0,VLOOKUP(30000,[1]!qryExcelSlab[#Data],4,FALSE)))</f>
        <v>30</v>
      </c>
      <c r="K39" s="52">
        <f>VLOOKUP(18797,[1]!qryExcelSlab[#Data],5,FALSE)</f>
        <v>70</v>
      </c>
      <c r="L39" s="90">
        <f>IF(K39=0,0,VLOOKUP(18797,[1]!qryExcelSlab[#Data],4,FALSE))</f>
        <v>39</v>
      </c>
      <c r="M39" s="49">
        <f>VLOOKUP(18056,[1]!qryExcelSlab[#Data],5,FALSE)</f>
        <v>39</v>
      </c>
      <c r="N39" s="97">
        <f>IF(M39=0,0,VLOOKUP(18056,[1]!qryExcelSlab[#Data],4,FALSE))</f>
        <v>53</v>
      </c>
      <c r="O39" s="49">
        <f>VLOOKUP(18107,[1]!qryExcelSlab[#Data],5,FALSE)</f>
        <v>1</v>
      </c>
      <c r="P39" s="51">
        <f>IF(O39=0,0,VLOOKUP(18107,[1]!qryExcelSlab[#Data],4,FALSE))</f>
        <v>63</v>
      </c>
      <c r="Q39" s="49">
        <f>VLOOKUP(18115,[1]!qryExcelSlab[#Data],5,FALSE)</f>
        <v>0</v>
      </c>
      <c r="R39" s="51">
        <f>IF(Q39=0,0,VLOOKUP(18115,[1]!qryExcelSlab[#Data],4,FALSE))</f>
        <v>0</v>
      </c>
      <c r="S39" s="56"/>
      <c r="T39" s="99" t="s">
        <v>24</v>
      </c>
    </row>
    <row r="40" spans="1:21" s="3" customFormat="1" ht="18" customHeight="1" x14ac:dyDescent="0.25">
      <c r="A40" s="102"/>
      <c r="B40" s="73"/>
      <c r="C40" s="74"/>
      <c r="D40" s="75"/>
      <c r="E40" s="76"/>
      <c r="F40" s="77"/>
      <c r="G40" s="78"/>
      <c r="H40" s="79"/>
      <c r="I40" s="78"/>
      <c r="J40" s="81"/>
      <c r="K40" s="95"/>
      <c r="L40" s="83"/>
      <c r="M40" s="78"/>
      <c r="N40" s="84"/>
      <c r="O40" s="78"/>
      <c r="P40" s="81"/>
      <c r="Q40" s="80"/>
      <c r="R40" s="81"/>
      <c r="S40" s="80"/>
      <c r="T40" s="86"/>
    </row>
    <row r="41" spans="1:21" s="3" customFormat="1" ht="18" customHeight="1" x14ac:dyDescent="0.25">
      <c r="A41" s="43" t="s">
        <v>67</v>
      </c>
      <c r="B41" s="44" t="s">
        <v>68</v>
      </c>
      <c r="C41" s="45"/>
      <c r="D41" s="46" t="s">
        <v>69</v>
      </c>
      <c r="E41" s="87" t="s">
        <v>31</v>
      </c>
      <c r="F41" s="48">
        <v>3</v>
      </c>
      <c r="G41" s="49">
        <f>VLOOKUP(23945,[1]!qryExcelSlab[#Data],5,FALSE)</f>
        <v>4</v>
      </c>
      <c r="H41" s="50">
        <f>IF(G41=0,0,VLOOKUP(23945,[1]!qryExcelSlab[#Data],4,FALSE))</f>
        <v>17.5</v>
      </c>
      <c r="I41" s="49">
        <f>VLOOKUP(20075,[1]!qryExcelSlab[#Data],5,FALSE)</f>
        <v>11</v>
      </c>
      <c r="J41" s="51">
        <f>IF(I41=0,0,IF(I41=0,0,VLOOKUP(20075,[1]!qryExcelSlab[#Data],4,FALSE)))</f>
        <v>37</v>
      </c>
      <c r="K41" s="52">
        <f>VLOOKUP(20074,[1]!qryExcelSlab[#Data],5,FALSE)</f>
        <v>55</v>
      </c>
      <c r="L41" s="53">
        <f>IF(K41=0,0,VLOOKUP(20074,[1]!qryExcelSlab[#Data],4,FALSE))</f>
        <v>47</v>
      </c>
      <c r="M41" s="49">
        <f>VLOOKUP(20073,[1]!qryExcelSlab[#Data],5,FALSE)</f>
        <v>11</v>
      </c>
      <c r="N41" s="54">
        <f>IF(M41=0,0,VLOOKUP(20073,[1]!qryExcelSlab[#Data],4,FALSE))</f>
        <v>59</v>
      </c>
      <c r="O41" s="49">
        <f>VLOOKUP(20072,[1]!qryExcelSlab[#Data],5,FALSE)</f>
        <v>2</v>
      </c>
      <c r="P41" s="55">
        <f>IF(O41=0,0,VLOOKUP(20072,[1]!qryExcelSlab[#Data],4,FALSE))</f>
        <v>69</v>
      </c>
      <c r="Q41" s="49">
        <f>VLOOKUP(20071,[1]!qryExcelSlab[#Data],5,FALSE)</f>
        <v>0</v>
      </c>
      <c r="R41" s="55">
        <f>IF(Q41=0,0,VLOOKUP(20071,[1]!qryExcelSlab[#Data],4,FALSE))</f>
        <v>0</v>
      </c>
      <c r="S41" s="49">
        <f>VLOOKUP(20070,[1]!qryExcelSlab[#Data],5,FALSE)</f>
        <v>0</v>
      </c>
      <c r="T41" s="57" t="s">
        <v>24</v>
      </c>
    </row>
    <row r="42" spans="1:21" s="3" customFormat="1" ht="18" customHeight="1" x14ac:dyDescent="0.25">
      <c r="A42" s="28"/>
      <c r="B42" s="73"/>
      <c r="C42" s="74"/>
      <c r="D42" s="75"/>
      <c r="E42" s="76"/>
      <c r="F42" s="77"/>
      <c r="G42" s="78"/>
      <c r="H42" s="79"/>
      <c r="I42" s="78"/>
      <c r="J42" s="81"/>
      <c r="K42" s="95"/>
      <c r="L42" s="83"/>
      <c r="M42" s="78"/>
      <c r="N42" s="84"/>
      <c r="O42" s="80"/>
      <c r="P42" s="81"/>
      <c r="Q42" s="80"/>
      <c r="R42" s="81"/>
      <c r="S42" s="80"/>
      <c r="T42" s="86"/>
    </row>
    <row r="43" spans="1:21" s="3" customFormat="1" ht="18" customHeight="1" x14ac:dyDescent="0.25">
      <c r="A43" s="43" t="s">
        <v>70</v>
      </c>
      <c r="B43" s="44" t="s">
        <v>71</v>
      </c>
      <c r="C43" s="45"/>
      <c r="D43" s="46" t="s">
        <v>54</v>
      </c>
      <c r="E43" s="92" t="s">
        <v>40</v>
      </c>
      <c r="F43" s="96">
        <v>2</v>
      </c>
      <c r="G43" s="49"/>
      <c r="H43" s="89"/>
      <c r="I43" s="49">
        <f>VLOOKUP(20768,[1]!qryExcelSlab[#Data],5,FALSE)</f>
        <v>4</v>
      </c>
      <c r="J43" s="51">
        <f>IF(I43=0,0,IF(I43=0,0,VLOOKUP(20768,[1]!qryExcelSlab[#Data],4,FALSE)))</f>
        <v>30</v>
      </c>
      <c r="K43" s="49">
        <f>VLOOKUP(30003,[1]!qryExcelSlab[#Data],5,FALSE)</f>
        <v>26</v>
      </c>
      <c r="L43" s="90">
        <f>IF(K43=0,0,VLOOKUP(30003,[1]!qryExcelSlab[#Data],4,FALSE))</f>
        <v>39</v>
      </c>
      <c r="M43" s="49">
        <f>VLOOKUP(18055,[1]!qryExcelSlab[#Data],5,FALSE)</f>
        <v>19</v>
      </c>
      <c r="N43" s="97">
        <f>IF(M43=0,0,VLOOKUP(18055,[1]!qryExcelSlab[#Data],4,FALSE))</f>
        <v>53</v>
      </c>
      <c r="O43" s="49">
        <f>VLOOKUP(20769,[1]!qryExcelSlab[#Data],5,FALSE)</f>
        <v>0</v>
      </c>
      <c r="P43" s="51">
        <f>IF(O43=0,0,VLOOKUP(20769,[1]!qryExcelSlab[#Data],4,FALSE))</f>
        <v>0</v>
      </c>
      <c r="Q43" s="56" t="s">
        <v>3</v>
      </c>
      <c r="R43" s="51" t="s">
        <v>3</v>
      </c>
      <c r="S43" s="56"/>
      <c r="T43" s="99" t="s">
        <v>24</v>
      </c>
    </row>
    <row r="44" spans="1:21" s="3" customFormat="1" ht="18" customHeight="1" x14ac:dyDescent="0.25">
      <c r="A44" s="43" t="s">
        <v>70</v>
      </c>
      <c r="B44" s="44" t="s">
        <v>72</v>
      </c>
      <c r="C44" s="45"/>
      <c r="D44" s="46" t="s">
        <v>54</v>
      </c>
      <c r="E44" s="92" t="s">
        <v>37</v>
      </c>
      <c r="F44" s="96">
        <v>1</v>
      </c>
      <c r="G44" s="49">
        <f>VLOOKUP(23457,[1]!qryExcelSlab[#Data],5,FALSE)</f>
        <v>26</v>
      </c>
      <c r="H44" s="50">
        <f>IF(G44=0,0,VLOOKUP(23457,[1]!qryExcelSlab[#Data],4,FALSE))</f>
        <v>17.5</v>
      </c>
      <c r="I44" s="49">
        <f>VLOOKUP(30002,[1]!qryExcelSlab[#Data],5,FALSE)</f>
        <v>16</v>
      </c>
      <c r="J44" s="51">
        <f>IF(I44=0,0,IF(I44=0,0,VLOOKUP(30002,[1]!qryExcelSlab[#Data],4,FALSE)))</f>
        <v>27</v>
      </c>
      <c r="K44" s="52">
        <f>VLOOKUP(18801,[1]!qryExcelSlab[#Data],5,FALSE)</f>
        <v>48</v>
      </c>
      <c r="L44" s="53">
        <f>IF(K44=0,0,VLOOKUP(18801,[1]!qryExcelSlab[#Data],4,FALSE))</f>
        <v>34</v>
      </c>
      <c r="M44" s="49">
        <f>VLOOKUP(20772,[1]!qryExcelSlab[#Data],5,FALSE)</f>
        <v>24</v>
      </c>
      <c r="N44" s="54">
        <f>IF(M44=0,0,VLOOKUP(20772,[1]!qryExcelSlab[#Data],4,FALSE))</f>
        <v>49</v>
      </c>
      <c r="O44" s="56" t="s">
        <v>3</v>
      </c>
      <c r="P44" s="55" t="s">
        <v>3</v>
      </c>
      <c r="Q44" s="49" t="s">
        <v>3</v>
      </c>
      <c r="R44" s="55" t="s">
        <v>3</v>
      </c>
      <c r="S44" s="56"/>
      <c r="T44" s="57" t="s">
        <v>24</v>
      </c>
    </row>
    <row r="45" spans="1:21" s="3" customFormat="1" ht="18" customHeight="1" x14ac:dyDescent="0.25">
      <c r="A45" s="28"/>
      <c r="B45" s="73"/>
      <c r="C45" s="74"/>
      <c r="D45" s="75"/>
      <c r="E45" s="76"/>
      <c r="F45" s="103"/>
      <c r="G45" s="78"/>
      <c r="H45" s="79"/>
      <c r="I45" s="80"/>
      <c r="J45" s="81"/>
      <c r="K45" s="82" t="s">
        <v>3</v>
      </c>
      <c r="L45" s="83"/>
      <c r="M45" s="78"/>
      <c r="N45" s="104"/>
      <c r="O45" s="78"/>
      <c r="P45" s="83"/>
      <c r="Q45" s="80"/>
      <c r="R45" s="81"/>
      <c r="S45" s="80"/>
      <c r="T45" s="86"/>
    </row>
    <row r="46" spans="1:21" s="3" customFormat="1" ht="18" customHeight="1" x14ac:dyDescent="0.25">
      <c r="A46" s="43" t="s">
        <v>73</v>
      </c>
      <c r="B46" s="44" t="s">
        <v>74</v>
      </c>
      <c r="C46" s="45" t="s">
        <v>75</v>
      </c>
      <c r="D46" s="46" t="s">
        <v>76</v>
      </c>
      <c r="E46" s="87" t="s">
        <v>37</v>
      </c>
      <c r="F46" s="96">
        <v>2</v>
      </c>
      <c r="G46" s="49"/>
      <c r="H46" s="89"/>
      <c r="I46" s="49">
        <f>VLOOKUP(19191,[1]!qryExcelSlab[#Data],5,FALSE)</f>
        <v>45</v>
      </c>
      <c r="J46" s="51">
        <f>IF(I46=0,0,IF(I46=0,0,VLOOKUP(19191,[1]!qryExcelSlab[#Data],4,FALSE)))</f>
        <v>30</v>
      </c>
      <c r="K46" s="52">
        <f>VLOOKUP(19193,[1]!qryExcelSlab[#Data],5,FALSE)</f>
        <v>23</v>
      </c>
      <c r="L46" s="90">
        <f>IF(K46=0,0,VLOOKUP(19193,[1]!qryExcelSlab[#Data],4,FALSE))</f>
        <v>39</v>
      </c>
      <c r="M46" s="49">
        <f>VLOOKUP(18180,[1]!qryExcelSlab[#Data],5,FALSE)</f>
        <v>96</v>
      </c>
      <c r="N46" s="97">
        <f>IF(M46=0,0,VLOOKUP(18180,[1]!qryExcelSlab[#Data],4,FALSE))</f>
        <v>53</v>
      </c>
      <c r="O46" s="49">
        <f>VLOOKUP(18116,[1]!qryExcelSlab[#Data],5,FALSE)</f>
        <v>45</v>
      </c>
      <c r="P46" s="51">
        <f>IF(O46=0,0,VLOOKUP(18116,[1]!qryExcelSlab[#Data],4,FALSE))</f>
        <v>63</v>
      </c>
      <c r="Q46" s="49">
        <f>VLOOKUP(18784,[1]!qryExcelSlab[#Data],5,FALSE)</f>
        <v>0</v>
      </c>
      <c r="R46" s="51">
        <f>IF(Q46=0,0,VLOOKUP(18784,[1]!qryExcelSlab[#Data],4,FALSE))</f>
        <v>0</v>
      </c>
      <c r="S46" s="49">
        <f>VLOOKUP(30059,[1]!qryExcelSlab[#Data],5,FALSE)</f>
        <v>0</v>
      </c>
      <c r="T46" s="99" t="s">
        <v>24</v>
      </c>
      <c r="U46" s="3" t="s">
        <v>3</v>
      </c>
    </row>
    <row r="47" spans="1:21" s="3" customFormat="1" ht="18" customHeight="1" x14ac:dyDescent="0.25">
      <c r="A47" s="28"/>
      <c r="B47" s="73"/>
      <c r="C47" s="74"/>
      <c r="D47" s="75"/>
      <c r="E47" s="76"/>
      <c r="F47" s="77"/>
      <c r="G47" s="78"/>
      <c r="H47" s="79"/>
      <c r="I47" s="78"/>
      <c r="J47" s="81"/>
      <c r="K47" s="95"/>
      <c r="L47" s="83"/>
      <c r="M47" s="78"/>
      <c r="N47" s="84"/>
      <c r="O47" s="78"/>
      <c r="P47" s="81"/>
      <c r="Q47" s="80"/>
      <c r="R47" s="81"/>
      <c r="S47" s="80"/>
      <c r="T47" s="86"/>
    </row>
    <row r="48" spans="1:21" s="3" customFormat="1" ht="18" customHeight="1" x14ac:dyDescent="0.25">
      <c r="A48" s="43" t="s">
        <v>77</v>
      </c>
      <c r="B48" s="44" t="s">
        <v>78</v>
      </c>
      <c r="C48" s="45" t="s">
        <v>79</v>
      </c>
      <c r="D48" s="46" t="s">
        <v>76</v>
      </c>
      <c r="E48" s="105" t="s">
        <v>37</v>
      </c>
      <c r="F48" s="96">
        <v>2</v>
      </c>
      <c r="G48" s="49">
        <f>VLOOKUP(19499,[1]!qryExcelSlab[#Data],5,FALSE)</f>
        <v>0</v>
      </c>
      <c r="H48" s="89">
        <f>IF(G48=0,0,VLOOKUP(19499,[1]!qryExcelSlab[#Data],4,FALSE))</f>
        <v>0</v>
      </c>
      <c r="I48" s="49">
        <f>VLOOKUP(19572,[1]!qryExcelSlab[#Data],5,FALSE)</f>
        <v>4</v>
      </c>
      <c r="J48" s="51">
        <f>IF(I48=0,0,IF(I48=0,0,VLOOKUP(19572,[1]!qryExcelSlab[#Data],4,FALSE)))</f>
        <v>30</v>
      </c>
      <c r="K48" s="52">
        <f>VLOOKUP(18805,[1]!qryExcelSlab[#Data],5,FALSE)</f>
        <v>0</v>
      </c>
      <c r="L48" s="90">
        <f>IF(K48=0,0,VLOOKUP(18805,[1]!qryExcelSlab[#Data],4,FALSE))</f>
        <v>0</v>
      </c>
      <c r="M48" s="49">
        <f>VLOOKUP(18061,[1]!qryExcelSlab[#Data],5,FALSE)</f>
        <v>16</v>
      </c>
      <c r="N48" s="97">
        <f>IF(M48=0,0,VLOOKUP(18061,[1]!qryExcelSlab[#Data],4,FALSE))</f>
        <v>53</v>
      </c>
      <c r="O48" s="49">
        <f>VLOOKUP(18128,[1]!qryExcelSlab[#Data],5,FALSE)</f>
        <v>0</v>
      </c>
      <c r="P48" s="51">
        <f>IF(O48=0,0,VLOOKUP(18128,[1]!qryExcelSlab[#Data],4,FALSE))</f>
        <v>0</v>
      </c>
      <c r="Q48" s="49"/>
      <c r="R48" s="51" t="s">
        <v>3</v>
      </c>
      <c r="S48" s="49">
        <f>VLOOKUP(19571,[1]!qryExcelSlab[#Data],5,FALSE)</f>
        <v>0</v>
      </c>
      <c r="T48" s="57" t="s">
        <v>24</v>
      </c>
    </row>
    <row r="49" spans="1:42" s="3" customFormat="1" ht="18" customHeight="1" x14ac:dyDescent="0.25">
      <c r="A49" s="28"/>
      <c r="B49" s="73"/>
      <c r="C49" s="74"/>
      <c r="D49" s="75"/>
      <c r="E49" s="76"/>
      <c r="F49" s="77"/>
      <c r="G49" s="78"/>
      <c r="H49" s="79"/>
      <c r="I49" s="78"/>
      <c r="J49" s="81"/>
      <c r="K49" s="95"/>
      <c r="L49" s="83"/>
      <c r="M49" s="78"/>
      <c r="N49" s="84"/>
      <c r="O49" s="78"/>
      <c r="P49" s="81"/>
      <c r="Q49" s="80"/>
      <c r="R49" s="81"/>
      <c r="S49" s="80"/>
      <c r="T49" s="86"/>
    </row>
    <row r="50" spans="1:42" s="3" customFormat="1" ht="18" customHeight="1" thickBot="1" x14ac:dyDescent="0.3">
      <c r="A50" s="101" t="s">
        <v>80</v>
      </c>
      <c r="B50" s="106" t="s">
        <v>81</v>
      </c>
      <c r="C50" s="107" t="s">
        <v>82</v>
      </c>
      <c r="D50" s="108" t="s">
        <v>76</v>
      </c>
      <c r="E50" s="87" t="s">
        <v>30</v>
      </c>
      <c r="F50" s="109">
        <v>2</v>
      </c>
      <c r="G50" s="110"/>
      <c r="H50" s="111"/>
      <c r="I50" s="112">
        <f>VLOOKUP(19194,[1]!qryExcelSlab[#Data],5,FALSE)</f>
        <v>43</v>
      </c>
      <c r="J50" s="113">
        <f>IF(I50=0,0,VLOOKUP(19194,[1]!qryExcelSlab[#Data],4,FALSE))</f>
        <v>30</v>
      </c>
      <c r="K50" s="114">
        <f>VLOOKUP(19195,[1]!qryExcelSlab[#Data],5,FALSE)</f>
        <v>28</v>
      </c>
      <c r="L50" s="115">
        <f>IF(K50=0,0,VLOOKUP(19195,[1]!qryExcelSlab[#Data],4,FALSE))</f>
        <v>39</v>
      </c>
      <c r="M50" s="112">
        <f>VLOOKUP(18759,[1]!qryExcelSlab[#Data],5,FALSE)</f>
        <v>3</v>
      </c>
      <c r="N50" s="116">
        <f>IF(M50=0,0,VLOOKUP(18759,[1]!qryExcelSlab[#Data],4,FALSE))</f>
        <v>53</v>
      </c>
      <c r="O50" s="112">
        <f>VLOOKUP(18059,[1]!qryExcelSlab[#Data],5,FALSE)</f>
        <v>0</v>
      </c>
      <c r="P50" s="113">
        <f>IF(O50=0,0,VLOOKUP(18059,[1]!qryExcelSlab[#Data],4,FALSE))</f>
        <v>0</v>
      </c>
      <c r="Q50" s="110"/>
      <c r="R50" s="113" t="s">
        <v>3</v>
      </c>
      <c r="S50" s="117">
        <f>VLOOKUP(18764,[1]!qryExcelSlab[#Data],5,FALSE)</f>
        <v>0</v>
      </c>
      <c r="T50" s="118" t="s">
        <v>24</v>
      </c>
    </row>
    <row r="51" spans="1:42" s="3" customFormat="1" ht="18" customHeight="1" thickBot="1" x14ac:dyDescent="0.3">
      <c r="A51" s="119"/>
      <c r="B51" s="73"/>
      <c r="C51" s="74"/>
      <c r="D51" s="75"/>
      <c r="E51" s="120"/>
      <c r="F51" s="121" t="s">
        <v>83</v>
      </c>
      <c r="G51" s="122" t="s">
        <v>84</v>
      </c>
      <c r="H51" s="123"/>
      <c r="I51" s="124" t="s">
        <v>6</v>
      </c>
      <c r="J51" s="125"/>
      <c r="K51" s="126" t="s">
        <v>7</v>
      </c>
      <c r="L51" s="127"/>
      <c r="M51" s="128" t="s">
        <v>8</v>
      </c>
      <c r="N51" s="128"/>
      <c r="O51" s="128" t="s">
        <v>9</v>
      </c>
      <c r="P51" s="128"/>
      <c r="Q51" s="128" t="s">
        <v>10</v>
      </c>
      <c r="R51" s="128"/>
      <c r="S51" s="128" t="s">
        <v>11</v>
      </c>
      <c r="T51" s="129"/>
    </row>
    <row r="52" spans="1:42" s="3" customFormat="1" ht="18" customHeight="1" thickBot="1" x14ac:dyDescent="0.3">
      <c r="A52" s="130"/>
      <c r="B52" s="131"/>
      <c r="C52" s="74"/>
      <c r="D52" s="132"/>
      <c r="E52" s="133"/>
      <c r="F52" s="133"/>
      <c r="G52" s="133"/>
      <c r="H52" s="5"/>
      <c r="I52" s="133"/>
      <c r="J52" s="134"/>
      <c r="K52" s="135"/>
      <c r="L52" s="136"/>
      <c r="M52" s="133"/>
      <c r="N52" s="137"/>
      <c r="O52" s="133"/>
      <c r="P52" s="134"/>
      <c r="Q52" s="133"/>
      <c r="R52" s="134"/>
      <c r="S52" s="133"/>
      <c r="T52" s="133"/>
    </row>
    <row r="53" spans="1:42" s="3" customFormat="1" ht="32.25" thickBot="1" x14ac:dyDescent="0.3">
      <c r="A53" s="15" t="s">
        <v>85</v>
      </c>
      <c r="B53" s="73"/>
      <c r="C53" s="74"/>
      <c r="D53" s="75"/>
      <c r="E53" s="138"/>
      <c r="F53" s="139" t="s">
        <v>83</v>
      </c>
      <c r="G53" s="140" t="s">
        <v>5</v>
      </c>
      <c r="H53" s="141"/>
      <c r="I53" s="142" t="s">
        <v>6</v>
      </c>
      <c r="J53" s="143"/>
      <c r="K53" s="144" t="s">
        <v>7</v>
      </c>
      <c r="L53" s="145"/>
      <c r="M53" s="142" t="s">
        <v>8</v>
      </c>
      <c r="N53" s="143"/>
      <c r="O53" s="142" t="s">
        <v>9</v>
      </c>
      <c r="P53" s="143"/>
      <c r="Q53" s="142" t="s">
        <v>10</v>
      </c>
      <c r="R53" s="143"/>
      <c r="S53" s="146" t="s">
        <v>11</v>
      </c>
      <c r="T53" s="147"/>
    </row>
    <row r="54" spans="1:42" s="3" customFormat="1" ht="18" customHeight="1" thickTop="1" x14ac:dyDescent="0.25">
      <c r="A54" s="28" t="s">
        <v>12</v>
      </c>
      <c r="B54" s="76" t="s">
        <v>13</v>
      </c>
      <c r="C54" s="148"/>
      <c r="D54" s="149" t="s">
        <v>86</v>
      </c>
      <c r="E54" s="76" t="s">
        <v>16</v>
      </c>
      <c r="F54" s="150" t="s">
        <v>17</v>
      </c>
      <c r="G54" s="151" t="s">
        <v>18</v>
      </c>
      <c r="H54" s="152" t="s">
        <v>19</v>
      </c>
      <c r="I54" s="153" t="s">
        <v>18</v>
      </c>
      <c r="J54" s="154" t="s">
        <v>19</v>
      </c>
      <c r="K54" s="153" t="s">
        <v>18</v>
      </c>
      <c r="L54" s="154" t="s">
        <v>19</v>
      </c>
      <c r="M54" s="151" t="s">
        <v>18</v>
      </c>
      <c r="N54" s="155" t="s">
        <v>19</v>
      </c>
      <c r="O54" s="153" t="s">
        <v>18</v>
      </c>
      <c r="P54" s="154" t="s">
        <v>19</v>
      </c>
      <c r="Q54" s="153" t="s">
        <v>18</v>
      </c>
      <c r="R54" s="154" t="s">
        <v>19</v>
      </c>
      <c r="S54" s="153" t="s">
        <v>18</v>
      </c>
      <c r="T54" s="156" t="s">
        <v>19</v>
      </c>
    </row>
    <row r="55" spans="1:42" s="157" customFormat="1" ht="18" customHeight="1" x14ac:dyDescent="0.25">
      <c r="A55" s="101" t="s">
        <v>32</v>
      </c>
      <c r="B55" s="44" t="s">
        <v>33</v>
      </c>
      <c r="C55" s="45"/>
      <c r="D55" s="46" t="s">
        <v>34</v>
      </c>
      <c r="E55" s="92" t="s">
        <v>30</v>
      </c>
      <c r="F55" s="88">
        <v>5</v>
      </c>
      <c r="G55" s="49"/>
      <c r="H55" s="89">
        <f>IF(G55=0,0,7.5)</f>
        <v>0</v>
      </c>
      <c r="I55" s="49"/>
      <c r="J55" s="51" t="s">
        <v>3</v>
      </c>
      <c r="K55" s="52">
        <f>VLOOKUP(29977,[1]!qryExcelSlab[#Data],5,FALSE)</f>
        <v>4</v>
      </c>
      <c r="L55" s="90">
        <f>IF(K55=0,0,VLOOKUP(29977,[1]!qryExcelSlab[#Data],4,FALSE))</f>
        <v>67</v>
      </c>
      <c r="M55" s="49"/>
      <c r="N55" s="91" t="s">
        <v>3</v>
      </c>
      <c r="O55" s="49"/>
      <c r="P55" s="90" t="s">
        <v>3</v>
      </c>
      <c r="Q55" s="56"/>
      <c r="R55" s="51" t="s">
        <v>3</v>
      </c>
      <c r="S55" s="56"/>
      <c r="T55" s="57" t="s">
        <v>24</v>
      </c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 s="173" customFormat="1" ht="18" customHeight="1" x14ac:dyDescent="0.25">
      <c r="A56" s="158"/>
      <c r="B56" s="159"/>
      <c r="C56" s="160"/>
      <c r="D56" s="161"/>
      <c r="E56" s="162"/>
      <c r="F56" s="163"/>
      <c r="G56" s="164"/>
      <c r="H56" s="165"/>
      <c r="I56" s="166"/>
      <c r="J56" s="167"/>
      <c r="K56" s="168"/>
      <c r="L56" s="169"/>
      <c r="M56" s="164"/>
      <c r="N56" s="170"/>
      <c r="O56" s="166"/>
      <c r="P56" s="169"/>
      <c r="Q56" s="171"/>
      <c r="R56" s="167"/>
      <c r="S56" s="171"/>
      <c r="T56" s="172"/>
    </row>
    <row r="57" spans="1:42" s="157" customFormat="1" ht="18" customHeight="1" x14ac:dyDescent="0.25">
      <c r="A57" s="101" t="s">
        <v>27</v>
      </c>
      <c r="B57" s="44" t="s">
        <v>28</v>
      </c>
      <c r="C57" s="45"/>
      <c r="D57" s="46"/>
      <c r="E57" s="92" t="s">
        <v>31</v>
      </c>
      <c r="F57" s="174">
        <v>4</v>
      </c>
      <c r="G57" s="175"/>
      <c r="H57" s="176"/>
      <c r="I57" s="177">
        <f>VLOOKUP(19750,[1]!qryExcelSlab[#Data],5,FALSE)</f>
        <v>5</v>
      </c>
      <c r="J57" s="178">
        <f>VLOOKUP(19750,[1]!qryExcelSlab[#Data],4,FALSE)</f>
        <v>41</v>
      </c>
      <c r="K57" s="179">
        <f>VLOOKUP(18748,[1]!qryExcelSlab[#Data],5,FALSE)</f>
        <v>13</v>
      </c>
      <c r="L57" s="180">
        <f>VLOOKUP(18748,[1]!qryExcelSlab[#Data],4,FALSE)</f>
        <v>53</v>
      </c>
      <c r="M57" s="175">
        <f>VLOOKUP(30841,[1]!qryExcelSlab[#Data],5,FALSE)</f>
        <v>1</v>
      </c>
      <c r="N57" s="181">
        <f>IF(M57=0,0,VLOOKUP(30841,[1]!qryExcelSlab[#Data],4,FALSE))</f>
        <v>63</v>
      </c>
      <c r="O57" s="177">
        <f>VLOOKUP(18123,[1]!qryExcelSlab[#Data],5,FALSE)</f>
        <v>0</v>
      </c>
      <c r="P57" s="180">
        <f>IF(O57=0,0,VLOOKUP(18123,[1]!qryExcelSlab[#Data],4,FALSE))</f>
        <v>0</v>
      </c>
      <c r="Q57" s="182">
        <f>VLOOKUP(23032,[1]!qryExcelSlab[#Data],5,FALSE)</f>
        <v>0</v>
      </c>
      <c r="R57" s="178">
        <f>IF(Q57=0,0,VLOOKUP(23032,[1]!qryExcelSlab[#Data],4,FALSE))</f>
        <v>0</v>
      </c>
      <c r="S57" s="182"/>
      <c r="T57" s="183" t="s">
        <v>24</v>
      </c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2" s="157" customFormat="1" ht="18" customHeight="1" x14ac:dyDescent="0.25">
      <c r="A58" s="101" t="s">
        <v>27</v>
      </c>
      <c r="B58" s="44" t="s">
        <v>28</v>
      </c>
      <c r="C58" s="45"/>
      <c r="D58" s="46"/>
      <c r="E58" s="92" t="s">
        <v>31</v>
      </c>
      <c r="F58" s="174">
        <v>3</v>
      </c>
      <c r="G58" s="175"/>
      <c r="H58" s="176"/>
      <c r="I58" s="177">
        <f>VLOOKUP(23026,[1]!qryExcelSlab[#Data],5,FALSE)</f>
        <v>5</v>
      </c>
      <c r="J58" s="178">
        <f>VLOOKUP(23026,[1]!qryExcelSlab[#Data],4,FALSE)</f>
        <v>37</v>
      </c>
      <c r="K58" s="179">
        <f>VLOOKUP(23027,[1]!qryExcelSlab[#Data],5,FALSE)</f>
        <v>21</v>
      </c>
      <c r="L58" s="180">
        <f>VLOOKUP(23027,[1]!qryExcelSlab[#Data],4,FALSE)</f>
        <v>47</v>
      </c>
      <c r="M58" s="175">
        <f>VLOOKUP(23028,[1]!qryExcelSlab[#Data],5,FALSE)</f>
        <v>1</v>
      </c>
      <c r="N58" s="181">
        <f>IF(M58=0,0,VLOOKUP(23028,[1]!qryExcelSlab[#Data],4,FALSE))</f>
        <v>59</v>
      </c>
      <c r="O58" s="177">
        <f>VLOOKUP(23029,[1]!qryExcelSlab[#Data],5,FALSE)</f>
        <v>0</v>
      </c>
      <c r="P58" s="180">
        <f>IF(O58=0,0,VLOOKUP(23029,[1]!qryExcelSlab[#Data],4,FALSE))</f>
        <v>0</v>
      </c>
      <c r="Q58" s="182">
        <f>VLOOKUP(23030,[1]!qryExcelSlab[#Data],5,FALSE)</f>
        <v>0</v>
      </c>
      <c r="R58" s="178">
        <f>IF(Q58=0,0,VLOOKUP(23030,[1]!qryExcelSlab[#Data],4,FALSE))</f>
        <v>0</v>
      </c>
      <c r="S58" s="182"/>
      <c r="T58" s="183" t="s">
        <v>24</v>
      </c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1:42" s="157" customFormat="1" ht="18" customHeight="1" x14ac:dyDescent="0.25">
      <c r="A59" s="184"/>
      <c r="B59" s="73"/>
      <c r="C59" s="74"/>
      <c r="D59" s="75"/>
      <c r="E59" s="76"/>
      <c r="F59" s="185"/>
      <c r="G59" s="186"/>
      <c r="H59" s="187"/>
      <c r="I59" s="188"/>
      <c r="J59" s="189"/>
      <c r="K59" s="190"/>
      <c r="L59" s="191"/>
      <c r="M59" s="186"/>
      <c r="N59" s="192"/>
      <c r="O59" s="188"/>
      <c r="P59" s="191"/>
      <c r="Q59" s="85"/>
      <c r="R59" s="189"/>
      <c r="S59" s="85"/>
      <c r="T59" s="19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1:42" s="3" customFormat="1" ht="18" customHeight="1" x14ac:dyDescent="0.25">
      <c r="A60" s="194" t="s">
        <v>87</v>
      </c>
      <c r="B60" s="44" t="s">
        <v>36</v>
      </c>
      <c r="C60" s="45"/>
      <c r="D60" s="46"/>
      <c r="E60" s="87" t="s">
        <v>37</v>
      </c>
      <c r="F60" s="195">
        <v>1</v>
      </c>
      <c r="G60" s="49" t="s">
        <v>3</v>
      </c>
      <c r="H60" s="50" t="s">
        <v>3</v>
      </c>
      <c r="I60" s="49"/>
      <c r="J60" s="51" t="s">
        <v>3</v>
      </c>
      <c r="K60" s="49">
        <f>VLOOKUP(29978,[1]!qryExcelSlab[#Data],5,FALSE)</f>
        <v>0</v>
      </c>
      <c r="L60" s="55">
        <f>IF(K60=0,0,VLOOKUP(29978,[1]!qryExcelSlab[#Data],4,FALSE))</f>
        <v>0</v>
      </c>
      <c r="M60" s="49">
        <f>VLOOKUP(29979,[1]!qryExcelSlab[#Data],5,FALSE)</f>
        <v>75</v>
      </c>
      <c r="N60" s="54">
        <f>IF(M60=0,0,VLOOKUP(29979,[1]!qryExcelSlab[#Data],4,FALSE))</f>
        <v>49</v>
      </c>
      <c r="O60" s="49">
        <f>VLOOKUP(29980,[1]!qryExcelSlab[#Data],5,FALSE)</f>
        <v>0</v>
      </c>
      <c r="P60" s="55">
        <f>IF(O60=0,0,VLOOKUP(29980,[1]!qryExcelSlab[#Data],4,FALSE))</f>
        <v>0</v>
      </c>
      <c r="Q60" s="49"/>
      <c r="R60" s="55" t="s">
        <v>3</v>
      </c>
      <c r="S60" s="49"/>
      <c r="T60" s="57" t="s">
        <v>24</v>
      </c>
    </row>
    <row r="61" spans="1:42" s="173" customFormat="1" ht="18" customHeight="1" x14ac:dyDescent="0.25">
      <c r="A61" s="196"/>
      <c r="B61" s="159"/>
      <c r="C61" s="160"/>
      <c r="D61" s="161"/>
      <c r="E61" s="162"/>
      <c r="F61" s="197"/>
      <c r="G61" s="198"/>
      <c r="H61" s="199"/>
      <c r="I61" s="198"/>
      <c r="J61" s="200"/>
      <c r="K61" s="201"/>
      <c r="L61" s="200"/>
      <c r="M61" s="201"/>
      <c r="N61" s="202"/>
      <c r="O61" s="198"/>
      <c r="P61" s="200"/>
      <c r="Q61" s="198"/>
      <c r="R61" s="200"/>
      <c r="S61" s="198"/>
      <c r="T61" s="20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42" s="3" customFormat="1" ht="18" customHeight="1" x14ac:dyDescent="0.25">
      <c r="A62" s="194" t="s">
        <v>87</v>
      </c>
      <c r="B62" s="44" t="s">
        <v>56</v>
      </c>
      <c r="C62" s="45"/>
      <c r="D62" s="46" t="s">
        <v>48</v>
      </c>
      <c r="E62" s="76" t="s">
        <v>37</v>
      </c>
      <c r="F62" s="195">
        <v>1</v>
      </c>
      <c r="G62" s="49" t="s">
        <v>3</v>
      </c>
      <c r="H62" s="50" t="s">
        <v>3</v>
      </c>
      <c r="I62" s="49" t="s">
        <v>3</v>
      </c>
      <c r="J62" s="51" t="s">
        <v>3</v>
      </c>
      <c r="K62" s="49">
        <f>VLOOKUP(29981,[1]!qryExcelSlab[#Data],5,FALSE)</f>
        <v>26</v>
      </c>
      <c r="L62" s="55">
        <f>IF(K62=0,0,VLOOKUP(29981,[1]!qryExcelSlab[#Data],4,FALSE))</f>
        <v>34</v>
      </c>
      <c r="M62" s="49">
        <f>VLOOKUP(29982,[1]!qryExcelSlab[#Data],5,FALSE)</f>
        <v>19</v>
      </c>
      <c r="N62" s="54">
        <f>IF(M62=0,0,VLOOKUP(29982,[1]!qryExcelSlab[#Data],4,FALSE))</f>
        <v>49</v>
      </c>
      <c r="O62" s="49">
        <f>VLOOKUP(29983,[1]!qryExcelSlab[#Data],5,FALSE)</f>
        <v>35</v>
      </c>
      <c r="P62" s="55">
        <f>IF(O62=0,0,VLOOKUP(29983,[1]!qryExcelSlab[#Data],4,FALSE))</f>
        <v>59</v>
      </c>
      <c r="Q62" s="49"/>
      <c r="R62" s="55" t="s">
        <v>3</v>
      </c>
      <c r="S62" s="56"/>
      <c r="T62" s="57" t="s">
        <v>24</v>
      </c>
    </row>
    <row r="63" spans="1:42" s="173" customFormat="1" ht="18" customHeight="1" x14ac:dyDescent="0.25">
      <c r="A63" s="196"/>
      <c r="B63" s="159"/>
      <c r="C63" s="160"/>
      <c r="D63" s="161"/>
      <c r="E63" s="162"/>
      <c r="F63" s="197"/>
      <c r="G63" s="198"/>
      <c r="H63" s="199"/>
      <c r="I63" s="198"/>
      <c r="J63" s="200"/>
      <c r="K63" s="201"/>
      <c r="L63" s="200"/>
      <c r="M63" s="201"/>
      <c r="N63" s="202"/>
      <c r="O63" s="198"/>
      <c r="P63" s="200"/>
      <c r="Q63" s="198"/>
      <c r="R63" s="200"/>
      <c r="S63" s="198"/>
      <c r="T63" s="20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42" s="3" customFormat="1" ht="18" customHeight="1" x14ac:dyDescent="0.25">
      <c r="A64" s="194" t="s">
        <v>87</v>
      </c>
      <c r="B64" s="44" t="s">
        <v>58</v>
      </c>
      <c r="C64" s="74"/>
      <c r="D64" s="46" t="s">
        <v>48</v>
      </c>
      <c r="E64" s="87" t="s">
        <v>37</v>
      </c>
      <c r="F64" s="195">
        <v>1</v>
      </c>
      <c r="G64" s="49" t="s">
        <v>3</v>
      </c>
      <c r="H64" s="50" t="s">
        <v>3</v>
      </c>
      <c r="I64" s="49"/>
      <c r="J64" s="51" t="s">
        <v>3</v>
      </c>
      <c r="K64" s="49">
        <f>VLOOKUP(29984,[1]!qryExcelSlab[#Data],5,FALSE)</f>
        <v>0</v>
      </c>
      <c r="L64" s="55">
        <f>IF(K64=0,0,VLOOKUP(29984,[1]!qryExcelSlab[#Data],4,FALSE))</f>
        <v>0</v>
      </c>
      <c r="M64" s="49">
        <f>VLOOKUP(29985,[1]!qryExcelSlab[#Data],5,FALSE)</f>
        <v>5</v>
      </c>
      <c r="N64" s="54">
        <f>IF(M64=0,0,VLOOKUP(29985,[1]!qryExcelSlab[#Data],4,FALSE))</f>
        <v>49</v>
      </c>
      <c r="O64" s="49">
        <f>VLOOKUP(29986,[1]!qryExcelSlab[#Data],5,FALSE)</f>
        <v>0</v>
      </c>
      <c r="P64" s="55">
        <f>IF(O64=0,0,VLOOKUP(29986,[1]!qryExcelSlab[#Data],4,FALSE))</f>
        <v>0</v>
      </c>
      <c r="Q64" s="49" t="s">
        <v>3</v>
      </c>
      <c r="R64" s="55" t="s">
        <v>3</v>
      </c>
      <c r="S64" s="49"/>
      <c r="T64" s="57" t="s">
        <v>24</v>
      </c>
    </row>
    <row r="65" spans="1:42" s="173" customFormat="1" ht="18" customHeight="1" x14ac:dyDescent="0.25">
      <c r="A65" s="196"/>
      <c r="B65" s="159"/>
      <c r="C65" s="160"/>
      <c r="D65" s="161"/>
      <c r="E65" s="162"/>
      <c r="F65" s="197"/>
      <c r="G65" s="198"/>
      <c r="H65" s="199"/>
      <c r="I65" s="198"/>
      <c r="J65" s="200"/>
      <c r="K65" s="201"/>
      <c r="L65" s="200"/>
      <c r="M65" s="201"/>
      <c r="N65" s="202"/>
      <c r="O65" s="198"/>
      <c r="P65" s="200"/>
      <c r="Q65" s="198"/>
      <c r="R65" s="200"/>
      <c r="S65" s="198"/>
      <c r="T65" s="20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1:42" s="3" customFormat="1" ht="18" customHeight="1" x14ac:dyDescent="0.25">
      <c r="A66" s="194" t="s">
        <v>87</v>
      </c>
      <c r="B66" s="44" t="s">
        <v>62</v>
      </c>
      <c r="C66" s="107"/>
      <c r="D66" s="108" t="s">
        <v>48</v>
      </c>
      <c r="E66" s="204" t="s">
        <v>37</v>
      </c>
      <c r="F66" s="205">
        <v>1</v>
      </c>
      <c r="G66" s="112" t="s">
        <v>3</v>
      </c>
      <c r="H66" s="50" t="s">
        <v>3</v>
      </c>
      <c r="I66" s="112"/>
      <c r="J66" s="113" t="s">
        <v>3</v>
      </c>
      <c r="K66" s="112">
        <f>VLOOKUP(29987,[1]!qryExcelSlab[#Data],5,FALSE)</f>
        <v>0</v>
      </c>
      <c r="L66" s="206">
        <f>IF(K66=0,0,VLOOKUP(29987,[1]!qryExcelSlab[#Data],4,FALSE))</f>
        <v>0</v>
      </c>
      <c r="M66" s="112">
        <f>VLOOKUP(29988,[1]!qryExcelSlab[#Data],5,FALSE)</f>
        <v>0</v>
      </c>
      <c r="N66" s="207">
        <f>IF(M66=0,0,VLOOKUP(29988,[1]!qryExcelSlab[#Data],4,FALSE))</f>
        <v>0</v>
      </c>
      <c r="O66" s="112">
        <f>VLOOKUP(29989,[1]!qryExcelSlab[#Data],5,FALSE)</f>
        <v>0</v>
      </c>
      <c r="P66" s="206">
        <f>IF(O66=0,0,VLOOKUP(29989,[1]!qryExcelSlab[#Data],4,FALSE))</f>
        <v>0</v>
      </c>
      <c r="Q66" s="112"/>
      <c r="R66" s="206" t="s">
        <v>3</v>
      </c>
      <c r="S66" s="112"/>
      <c r="T66" s="208" t="s">
        <v>24</v>
      </c>
    </row>
    <row r="67" spans="1:42" s="173" customFormat="1" ht="18" customHeight="1" x14ac:dyDescent="0.25">
      <c r="A67" s="196"/>
      <c r="B67" s="159"/>
      <c r="C67" s="160"/>
      <c r="D67" s="161"/>
      <c r="E67" s="76"/>
      <c r="F67" s="197"/>
      <c r="G67" s="201"/>
      <c r="H67" s="199"/>
      <c r="I67" s="201"/>
      <c r="J67" s="200"/>
      <c r="K67" s="201"/>
      <c r="L67" s="200"/>
      <c r="M67" s="201"/>
      <c r="N67" s="202"/>
      <c r="O67" s="201"/>
      <c r="P67" s="200"/>
      <c r="Q67" s="201"/>
      <c r="R67" s="200"/>
      <c r="S67" s="201"/>
      <c r="T67" s="20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2" s="3" customFormat="1" ht="18" customHeight="1" x14ac:dyDescent="0.25">
      <c r="A68" s="209" t="s">
        <v>88</v>
      </c>
      <c r="B68" s="44" t="s">
        <v>47</v>
      </c>
      <c r="C68" s="107"/>
      <c r="D68" s="108" t="s">
        <v>48</v>
      </c>
      <c r="E68" s="204"/>
      <c r="F68" s="205">
        <v>1</v>
      </c>
      <c r="G68" s="112" t="s">
        <v>3</v>
      </c>
      <c r="H68" s="50"/>
      <c r="I68" s="112"/>
      <c r="J68" s="113"/>
      <c r="K68" s="112">
        <f>VLOOKUP(30621,[1]!qryExcelSlab[#Data],5,FALSE)</f>
        <v>2</v>
      </c>
      <c r="L68" s="206">
        <f>IF(K68=0,0,VLOOKUP(30621,[1]!qryExcelSlab[#Data],4,FALSE))</f>
        <v>35</v>
      </c>
      <c r="M68" s="112">
        <f>VLOOKUP(30620,[1]!qryExcelSlab[#Data],5,FALSE)</f>
        <v>5</v>
      </c>
      <c r="N68" s="207">
        <f>IF(M68=0,0,VLOOKUP(30620,[1]!qryExcelSlab[#Data],4,FALSE))</f>
        <v>53</v>
      </c>
      <c r="O68" s="112"/>
      <c r="P68" s="206"/>
      <c r="Q68" s="112"/>
      <c r="R68" s="206"/>
      <c r="S68" s="112"/>
      <c r="T68" s="208" t="s">
        <v>24</v>
      </c>
    </row>
    <row r="69" spans="1:42" s="173" customFormat="1" ht="18" customHeight="1" x14ac:dyDescent="0.25">
      <c r="A69" s="196"/>
      <c r="B69" s="159"/>
      <c r="C69" s="160"/>
      <c r="D69" s="161"/>
      <c r="E69" s="162"/>
      <c r="F69" s="197"/>
      <c r="G69" s="201"/>
      <c r="H69" s="199"/>
      <c r="I69" s="201"/>
      <c r="J69" s="200"/>
      <c r="K69" s="201"/>
      <c r="L69" s="200"/>
      <c r="M69" s="201"/>
      <c r="N69" s="202"/>
      <c r="O69" s="201"/>
      <c r="P69" s="200"/>
      <c r="Q69" s="201"/>
      <c r="R69" s="200"/>
      <c r="S69" s="201"/>
      <c r="T69" s="86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1:42" s="3" customFormat="1" ht="18" customHeight="1" thickBot="1" x14ac:dyDescent="0.3">
      <c r="A70" s="210" t="s">
        <v>87</v>
      </c>
      <c r="B70" s="44" t="s">
        <v>78</v>
      </c>
      <c r="C70" s="45" t="s">
        <v>79</v>
      </c>
      <c r="D70" s="46" t="s">
        <v>76</v>
      </c>
      <c r="E70" s="105" t="s">
        <v>37</v>
      </c>
      <c r="F70" s="211">
        <v>2</v>
      </c>
      <c r="G70" s="212"/>
      <c r="H70" s="213">
        <f>IF(G70=0,0,7.5)</f>
        <v>0</v>
      </c>
      <c r="I70" s="212">
        <f>VLOOKUP(19572,[1]!qryExcelSlab[#Data],5,FALSE)</f>
        <v>4</v>
      </c>
      <c r="J70" s="214">
        <f>IF(I70=0,0,VLOOKUP(19572,[1]!qryExcelSlab[#Data],4,FALSE))</f>
        <v>30</v>
      </c>
      <c r="K70" s="212">
        <f>VLOOKUP(29993,[1]!qryExcelSlab[#Data],5,FALSE)</f>
        <v>10</v>
      </c>
      <c r="L70" s="214">
        <f>IF(K70=0,0,VLOOKUP(29993,[1]!qryExcelSlab[#Data],4,FALSE))</f>
        <v>39</v>
      </c>
      <c r="M70" s="212">
        <f>VLOOKUP(29994,[1]!qryExcelSlab[#Data],5,FALSE)</f>
        <v>0</v>
      </c>
      <c r="N70" s="215">
        <f>IF(M70=0,0,VLOOKUP(29994,[1]!qryExcelSlab[#Data],4,FALSE))</f>
        <v>0</v>
      </c>
      <c r="O70" s="212">
        <f>VLOOKUP(29995,[1]!qryExcelSlab[#Data],5,FALSE)</f>
        <v>0</v>
      </c>
      <c r="P70" s="214">
        <f>IF(O70=0,0,VLOOKUP(29995,[1]!qryExcelSlab[#Data],4,FALSE))</f>
        <v>0</v>
      </c>
      <c r="Q70" s="212"/>
      <c r="R70" s="214" t="s">
        <v>3</v>
      </c>
      <c r="S70" s="212">
        <f>VLOOKUP(19571,[1]!qryExcelSlab[#Data],5,FALSE)</f>
        <v>0</v>
      </c>
      <c r="T70" s="216" t="s">
        <v>24</v>
      </c>
    </row>
    <row r="71" spans="1:42" s="3" customFormat="1" ht="18" customHeight="1" thickTop="1" thickBot="1" x14ac:dyDescent="0.3">
      <c r="A71" s="130"/>
      <c r="B71" s="131"/>
      <c r="C71" s="74"/>
      <c r="D71" s="132"/>
      <c r="E71" s="133"/>
      <c r="F71" s="133"/>
      <c r="G71" s="133"/>
      <c r="H71" s="5"/>
      <c r="I71" s="133"/>
      <c r="J71" s="134"/>
      <c r="K71" s="135"/>
      <c r="L71" s="136"/>
      <c r="M71" s="133"/>
      <c r="N71" s="137"/>
      <c r="O71" s="133"/>
      <c r="P71" s="134"/>
      <c r="Q71" s="133"/>
      <c r="R71" s="134"/>
      <c r="S71" s="133"/>
      <c r="T71" s="133"/>
    </row>
    <row r="72" spans="1:42" s="3" customFormat="1" ht="48.75" thickTop="1" thickBot="1" x14ac:dyDescent="0.3">
      <c r="A72" s="217" t="s">
        <v>89</v>
      </c>
      <c r="B72" s="73"/>
      <c r="C72" s="74"/>
      <c r="D72" s="218"/>
      <c r="E72" s="219"/>
      <c r="F72" s="220" t="s">
        <v>83</v>
      </c>
      <c r="G72" s="21" t="s">
        <v>5</v>
      </c>
      <c r="H72" s="22"/>
      <c r="I72" s="23" t="s">
        <v>6</v>
      </c>
      <c r="J72" s="24"/>
      <c r="K72" s="25" t="s">
        <v>7</v>
      </c>
      <c r="L72" s="26"/>
      <c r="M72" s="27" t="s">
        <v>8</v>
      </c>
      <c r="N72" s="27"/>
      <c r="O72" s="27" t="s">
        <v>9</v>
      </c>
      <c r="P72" s="27"/>
      <c r="Q72" s="27" t="s">
        <v>10</v>
      </c>
      <c r="R72" s="27"/>
      <c r="S72" s="27" t="s">
        <v>11</v>
      </c>
      <c r="T72" s="27"/>
    </row>
    <row r="73" spans="1:42" s="3" customFormat="1" ht="18" customHeight="1" thickTop="1" x14ac:dyDescent="0.25">
      <c r="A73" s="28" t="s">
        <v>12</v>
      </c>
      <c r="B73" s="76" t="s">
        <v>13</v>
      </c>
      <c r="C73" s="148" t="s">
        <v>90</v>
      </c>
      <c r="D73" s="149" t="s">
        <v>86</v>
      </c>
      <c r="E73" s="76" t="s">
        <v>91</v>
      </c>
      <c r="F73" s="221" t="s">
        <v>17</v>
      </c>
      <c r="G73" s="34" t="s">
        <v>18</v>
      </c>
      <c r="H73" s="35" t="s">
        <v>19</v>
      </c>
      <c r="I73" s="222" t="s">
        <v>18</v>
      </c>
      <c r="J73" s="223" t="s">
        <v>19</v>
      </c>
      <c r="K73" s="224" t="s">
        <v>18</v>
      </c>
      <c r="L73" s="225" t="s">
        <v>19</v>
      </c>
      <c r="M73" s="224" t="s">
        <v>18</v>
      </c>
      <c r="N73" s="226" t="s">
        <v>19</v>
      </c>
      <c r="O73" s="224" t="s">
        <v>18</v>
      </c>
      <c r="P73" s="225" t="s">
        <v>19</v>
      </c>
      <c r="Q73" s="153" t="s">
        <v>18</v>
      </c>
      <c r="R73" s="154" t="s">
        <v>19</v>
      </c>
      <c r="S73" s="153" t="s">
        <v>18</v>
      </c>
      <c r="T73" s="156" t="s">
        <v>19</v>
      </c>
    </row>
    <row r="74" spans="1:42" s="3" customFormat="1" ht="18" customHeight="1" x14ac:dyDescent="0.25">
      <c r="A74" s="227" t="s">
        <v>92</v>
      </c>
      <c r="B74" s="44" t="s">
        <v>93</v>
      </c>
      <c r="C74" s="45"/>
      <c r="D74" s="46" t="s">
        <v>94</v>
      </c>
      <c r="E74" s="92" t="s">
        <v>95</v>
      </c>
      <c r="F74" s="88">
        <v>4</v>
      </c>
      <c r="G74" s="49"/>
      <c r="H74" s="89"/>
      <c r="I74" s="49">
        <f>VLOOKUP(23734,[1]!qryExcelSlab[#Data],5,FALSE)</f>
        <v>8</v>
      </c>
      <c r="J74" s="51">
        <f>IF(I74=0,0,VLOOKUP(23734,[1]!qryExcelSlab[#Data],4,FALSE))</f>
        <v>41</v>
      </c>
      <c r="K74" s="52">
        <f>VLOOKUP(18205,[1]!qryExcelSlab[#Data],5,FALSE)</f>
        <v>2</v>
      </c>
      <c r="L74" s="90">
        <f>IF(K74=0,0,VLOOKUP(18205,[1]!qryExcelSlab[#Data],4,FALSE))</f>
        <v>53</v>
      </c>
      <c r="M74" s="49">
        <f>VLOOKUP(30362,[1]!qryExcelSlab[#Data],5,FALSE)</f>
        <v>0</v>
      </c>
      <c r="N74" s="91">
        <f>IF(M74=0,0,VLOOKUP(30362,[1]!qryExcelSlab[#Data],4,FALSE))</f>
        <v>0</v>
      </c>
      <c r="O74" s="49"/>
      <c r="P74" s="90" t="s">
        <v>3</v>
      </c>
      <c r="Q74" s="56"/>
      <c r="R74" s="51" t="s">
        <v>3</v>
      </c>
      <c r="S74" s="228"/>
      <c r="T74" s="229" t="s">
        <v>24</v>
      </c>
    </row>
    <row r="75" spans="1:42" s="3" customFormat="1" ht="18" customHeight="1" x14ac:dyDescent="0.25">
      <c r="A75" s="43" t="s">
        <v>92</v>
      </c>
      <c r="B75" s="44" t="s">
        <v>93</v>
      </c>
      <c r="C75" s="45"/>
      <c r="D75" s="46"/>
      <c r="E75" s="92" t="s">
        <v>30</v>
      </c>
      <c r="F75" s="48">
        <v>3</v>
      </c>
      <c r="G75" s="49">
        <f>VLOOKUP(18206,[1]!qryExcelSlab[#Data],5,FALSE)</f>
        <v>0</v>
      </c>
      <c r="H75" s="50">
        <f>IF(G75=0,0,VLOOKUP(18206,[1]!qryExcelSlab[#Data],4,FALSE))</f>
        <v>0</v>
      </c>
      <c r="I75" s="49">
        <f>VLOOKUP(18245,[1]!qryExcelSlab[#Data],5,FALSE)</f>
        <v>6</v>
      </c>
      <c r="J75" s="51">
        <f>IF(I75=0,0,VLOOKUP(18245,[1]!qryExcelSlab[#Data],4,FALSE))</f>
        <v>37</v>
      </c>
      <c r="K75" s="52">
        <f>VLOOKUP(18204,[1]!qryExcelSlab[#Data],5,FALSE)</f>
        <v>26</v>
      </c>
      <c r="L75" s="230">
        <f>IF(K75=0,0,VLOOKUP(18204,[1]!qryExcelSlab[#Data],4,FALSE))</f>
        <v>47</v>
      </c>
      <c r="M75" s="49">
        <f>VLOOKUP(18246,[1]!qryExcelSlab[#Data],5,FALSE)</f>
        <v>3</v>
      </c>
      <c r="N75" s="54">
        <f>IF(M75=0,0,VLOOKUP(18246,[1]!qryExcelSlab[#Data],4,FALSE))</f>
        <v>59</v>
      </c>
      <c r="O75" s="49"/>
      <c r="P75" s="55" t="s">
        <v>3</v>
      </c>
      <c r="Q75" s="56"/>
      <c r="R75" s="55" t="s">
        <v>3</v>
      </c>
      <c r="S75" s="228"/>
      <c r="T75" s="229" t="s">
        <v>24</v>
      </c>
    </row>
    <row r="76" spans="1:42" s="3" customFormat="1" ht="18" customHeight="1" x14ac:dyDescent="0.25">
      <c r="A76" s="102"/>
      <c r="B76" s="73"/>
      <c r="C76" s="74"/>
      <c r="D76" s="75"/>
      <c r="E76" s="76"/>
      <c r="F76" s="77"/>
      <c r="G76" s="78"/>
      <c r="H76" s="79"/>
      <c r="I76" s="78"/>
      <c r="J76" s="81"/>
      <c r="K76" s="95"/>
      <c r="L76" s="83"/>
      <c r="M76" s="78"/>
      <c r="N76" s="104"/>
      <c r="O76" s="78"/>
      <c r="P76" s="83"/>
      <c r="Q76" s="80"/>
      <c r="R76" s="81"/>
      <c r="S76" s="228"/>
      <c r="T76" s="231"/>
    </row>
    <row r="77" spans="1:42" s="3" customFormat="1" ht="18" customHeight="1" x14ac:dyDescent="0.25">
      <c r="A77" s="98" t="s">
        <v>96</v>
      </c>
      <c r="B77" s="44" t="s">
        <v>97</v>
      </c>
      <c r="C77" s="45"/>
      <c r="D77" s="46" t="s">
        <v>94</v>
      </c>
      <c r="E77" s="92" t="s">
        <v>30</v>
      </c>
      <c r="F77" s="88">
        <v>5</v>
      </c>
      <c r="G77" s="49">
        <f>VLOOKUP(18261,[1]!qryExcelSlab[#Data],5,FALSE)</f>
        <v>0</v>
      </c>
      <c r="H77" s="50">
        <f>IF(G77=0,0,VLOOKUP(18261,[1]!qryExcelSlab[#Data],4,FALSE))</f>
        <v>0</v>
      </c>
      <c r="I77" s="49">
        <f>VLOOKUP(23734,[1]!qryExcelSlab[#Data],5,FALSE)</f>
        <v>8</v>
      </c>
      <c r="J77" s="51">
        <f>IF(I77=0,0,VLOOKUP(23734,[1]!qryExcelSlab[#Data],4,FALSE))</f>
        <v>41</v>
      </c>
      <c r="K77" s="52">
        <f>VLOOKUP(23735,[1]!qryExcelSlab[#Data],5,FALSE)</f>
        <v>19</v>
      </c>
      <c r="L77" s="90">
        <f>IF(K77=0,0,VLOOKUP(23735,[1]!qryExcelSlab[#Data],4,FALSE))</f>
        <v>53</v>
      </c>
      <c r="M77" s="49">
        <f>VLOOKUP(23736,[1]!qryExcelSlab[#Data],5,FALSE)</f>
        <v>1</v>
      </c>
      <c r="N77" s="91">
        <f>IF(M77=0,0,VLOOKUP(23736,[1]!qryExcelSlab[#Data],4,FALSE))</f>
        <v>67</v>
      </c>
      <c r="O77" s="49"/>
      <c r="P77" s="90" t="s">
        <v>3</v>
      </c>
      <c r="Q77" s="56"/>
      <c r="R77" s="51" t="s">
        <v>3</v>
      </c>
      <c r="S77" s="228"/>
      <c r="T77" s="229" t="s">
        <v>24</v>
      </c>
    </row>
    <row r="78" spans="1:42" s="3" customFormat="1" ht="18" customHeight="1" x14ac:dyDescent="0.25">
      <c r="A78" s="196"/>
      <c r="B78" s="159"/>
      <c r="C78" s="160"/>
      <c r="D78" s="161"/>
      <c r="E78" s="162"/>
      <c r="F78" s="232"/>
      <c r="G78" s="233"/>
      <c r="H78" s="234"/>
      <c r="I78" s="201"/>
      <c r="J78" s="235"/>
      <c r="K78" s="201"/>
      <c r="L78" s="235"/>
      <c r="M78" s="201"/>
      <c r="N78" s="236"/>
      <c r="O78" s="198"/>
      <c r="P78" s="235"/>
      <c r="Q78" s="198"/>
      <c r="R78" s="235"/>
      <c r="S78" s="228"/>
      <c r="T78" s="237"/>
    </row>
    <row r="79" spans="1:42" s="173" customFormat="1" ht="18" customHeight="1" x14ac:dyDescent="0.25">
      <c r="A79" s="43" t="s">
        <v>98</v>
      </c>
      <c r="B79" s="44" t="s">
        <v>99</v>
      </c>
      <c r="C79" s="45"/>
      <c r="D79" s="46" t="s">
        <v>94</v>
      </c>
      <c r="E79" s="92" t="s">
        <v>95</v>
      </c>
      <c r="F79" s="48">
        <v>3</v>
      </c>
      <c r="G79" s="49"/>
      <c r="H79" s="50"/>
      <c r="I79" s="49">
        <f>VLOOKUP(21012,[1]!qryExcelSlab[#Data],5,FALSE)</f>
        <v>25</v>
      </c>
      <c r="J79" s="51">
        <f>IF(I79=0,0,VLOOKUP(21012,[1]!qryExcelSlab[#Data],4,FALSE))</f>
        <v>37</v>
      </c>
      <c r="K79" s="52">
        <f>VLOOKUP(20774,[1]!qryExcelSlab[#Data],5,FALSE)</f>
        <v>14</v>
      </c>
      <c r="L79" s="53">
        <f>IF(K79=0,0,VLOOKUP(20774,[1]!qryExcelSlab[#Data],4,FALSE))</f>
        <v>47</v>
      </c>
      <c r="M79" s="49">
        <f>VLOOKUP(18184,[1]!qryExcelSlab[#Data],5,FALSE)</f>
        <v>1</v>
      </c>
      <c r="N79" s="54">
        <f>IF(M79=0,0,VLOOKUP(18184,[1]!qryExcelSlab[#Data],4,FALSE))</f>
        <v>59</v>
      </c>
      <c r="O79" s="49"/>
      <c r="P79" s="55" t="s">
        <v>3</v>
      </c>
      <c r="Q79" s="56"/>
      <c r="R79" s="55" t="s">
        <v>3</v>
      </c>
      <c r="S79" s="228"/>
      <c r="T79" s="229" t="s">
        <v>24</v>
      </c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1:42" s="3" customFormat="1" ht="18" customHeight="1" x14ac:dyDescent="0.25">
      <c r="A80" s="43" t="s">
        <v>98</v>
      </c>
      <c r="B80" s="44" t="s">
        <v>99</v>
      </c>
      <c r="C80" s="45"/>
      <c r="D80" s="46"/>
      <c r="E80" s="92" t="s">
        <v>31</v>
      </c>
      <c r="F80" s="96">
        <v>1</v>
      </c>
      <c r="G80" s="49"/>
      <c r="H80" s="89"/>
      <c r="I80" s="49">
        <f>VLOOKUP(18183,[1]!qryExcelSlab[#Data],5,FALSE)</f>
        <v>5</v>
      </c>
      <c r="J80" s="51">
        <f>IF(I80=0,0,VLOOKUP(18183,[1]!qryExcelSlab[#Data],4,FALSE))</f>
        <v>27</v>
      </c>
      <c r="K80" s="52">
        <f>VLOOKUP(18208,[1]!qryExcelSlab[#Data],5,FALSE)</f>
        <v>11</v>
      </c>
      <c r="L80" s="53">
        <f>IF(K80=0,0,VLOOKUP(18208,[1]!qryExcelSlab[#Data],4,FALSE))</f>
        <v>34</v>
      </c>
      <c r="M80" s="49">
        <f>VLOOKUP(20776,[1]!qryExcelSlab[#Data],5,FALSE)</f>
        <v>27</v>
      </c>
      <c r="N80" s="54">
        <f>IF(M80=0,0,VLOOKUP(20776,[1]!qryExcelSlab[#Data],4,FALSE))</f>
        <v>49</v>
      </c>
      <c r="O80" s="49">
        <f>VLOOKUP(20777,[1]!qryExcelSlab[#Data],5,FALSE)</f>
        <v>0</v>
      </c>
      <c r="P80" s="55">
        <f>IF(O80=0,0,VLOOKUP(20777,[1]!qryExcelSlab[#Data],4,FALSE))</f>
        <v>0</v>
      </c>
      <c r="Q80" s="56"/>
      <c r="R80" s="55" t="s">
        <v>3</v>
      </c>
      <c r="S80" s="238">
        <f>VLOOKUP(20889,[1]!qryExcelSlab[#Data],5,FALSE)</f>
        <v>0</v>
      </c>
      <c r="T80" s="229" t="s">
        <v>24</v>
      </c>
    </row>
    <row r="81" spans="1:42" s="3" customFormat="1" ht="18" customHeight="1" x14ac:dyDescent="0.25">
      <c r="A81" s="43" t="s">
        <v>98</v>
      </c>
      <c r="B81" s="44" t="s">
        <v>99</v>
      </c>
      <c r="C81" s="45"/>
      <c r="D81" s="46"/>
      <c r="E81" s="92" t="s">
        <v>30</v>
      </c>
      <c r="F81" s="96">
        <v>1</v>
      </c>
      <c r="G81" s="49">
        <f>VLOOKUP(23928,[1]!qryExcelSlab[#Data],5,FALSE)</f>
        <v>117</v>
      </c>
      <c r="H81" s="50">
        <f>IF(G81=0,0,VLOOKUP(23928,[1]!qryExcelSlab[#Data],4,FALSE))</f>
        <v>17.5</v>
      </c>
      <c r="I81" s="49">
        <f>VLOOKUP(30363,[1]!qryExcelSlab[#Data],5,FALSE)</f>
        <v>9</v>
      </c>
      <c r="J81" s="51">
        <f>IF(I81=0,0,VLOOKUP(30363,[1]!qryExcelSlab[#Data],4,FALSE))</f>
        <v>27</v>
      </c>
      <c r="K81" s="52">
        <f>VLOOKUP(21016,[1]!qryExcelSlab[#Data],5,FALSE)</f>
        <v>18</v>
      </c>
      <c r="L81" s="53">
        <f>IF(K81=0,0,VLOOKUP(21016,[1]!qryExcelSlab[#Data],4,FALSE))</f>
        <v>34</v>
      </c>
      <c r="M81" s="49">
        <f>VLOOKUP(21015,[1]!qryExcelSlab[#Data],5,FALSE)</f>
        <v>35</v>
      </c>
      <c r="N81" s="54">
        <f>IF(M81=0,0,VLOOKUP(21015,[1]!qryExcelSlab[#Data],4,FALSE))</f>
        <v>49</v>
      </c>
      <c r="O81" s="49">
        <f>VLOOKUP(21014,[1]!qryExcelSlab[#Data],5,FALSE)</f>
        <v>2</v>
      </c>
      <c r="P81" s="55">
        <f>IF(O81=0,0,VLOOKUP(21014,[1]!qryExcelSlab[#Data],4,FALSE))</f>
        <v>59</v>
      </c>
      <c r="Q81" s="56"/>
      <c r="R81" s="55" t="s">
        <v>3</v>
      </c>
      <c r="S81" s="228"/>
      <c r="T81" s="229" t="s">
        <v>24</v>
      </c>
    </row>
    <row r="82" spans="1:42" s="3" customFormat="1" ht="18" customHeight="1" x14ac:dyDescent="0.25">
      <c r="A82" s="196"/>
      <c r="B82" s="159"/>
      <c r="C82" s="160"/>
      <c r="D82" s="239">
        <f>VLOOKUP(18204,[1]!qryExcelSlab[#Data],4,FALSE)</f>
        <v>47</v>
      </c>
      <c r="E82" s="162"/>
      <c r="F82" s="232"/>
      <c r="G82" s="240"/>
      <c r="H82" s="241"/>
      <c r="I82" s="201"/>
      <c r="J82" s="242"/>
      <c r="K82" s="243"/>
      <c r="L82" s="242"/>
      <c r="M82" s="201"/>
      <c r="N82" s="244"/>
      <c r="O82" s="198"/>
      <c r="P82" s="242"/>
      <c r="Q82" s="198"/>
      <c r="R82" s="242"/>
      <c r="S82" s="228"/>
      <c r="T82" s="237"/>
    </row>
    <row r="83" spans="1:42" s="3" customFormat="1" ht="18" customHeight="1" x14ac:dyDescent="0.25">
      <c r="A83" s="43" t="s">
        <v>100</v>
      </c>
      <c r="B83" s="44" t="s">
        <v>101</v>
      </c>
      <c r="C83" s="45"/>
      <c r="D83" s="46" t="s">
        <v>102</v>
      </c>
      <c r="E83" s="92" t="s">
        <v>23</v>
      </c>
      <c r="F83" s="48">
        <v>3</v>
      </c>
      <c r="G83" s="49"/>
      <c r="H83" s="50"/>
      <c r="I83" s="49">
        <f>VLOOKUP(22358,[1]!qryExcelSlab[#Data],5,FALSE)</f>
        <v>5</v>
      </c>
      <c r="J83" s="51">
        <f>IF(I83=0,0,IF(I83=0,0,VLOOKUP(22358,[1]!qryExcelSlab[#Data],4,FALSE)))</f>
        <v>37</v>
      </c>
      <c r="K83" s="52">
        <f>VLOOKUP(19196,[1]!qryExcelSlab[#Data],5,FALSE)</f>
        <v>0</v>
      </c>
      <c r="L83" s="53">
        <f>IF(K83=0,0,IF(K83=0,0,VLOOKUP(19196,[1]!qryExcelSlab[#Data],4,FALSE)))</f>
        <v>0</v>
      </c>
      <c r="M83" s="49">
        <f>VLOOKUP(18210,[1]!qryExcelSlab[#Data],5,FALSE)</f>
        <v>12</v>
      </c>
      <c r="N83" s="54">
        <f>IF(M83=0,0,IF(M83=0,0,VLOOKUP(18210,[1]!qryExcelSlab[#Data],4,FALSE)))</f>
        <v>59</v>
      </c>
      <c r="O83" s="49">
        <f>VLOOKUP(19197,[1]!qryExcelSlab[#Data],5,FALSE)</f>
        <v>0</v>
      </c>
      <c r="P83" s="55">
        <f>IF(O83=0,0,VLOOKUP(19197,[1]!qryExcelSlab[#Data],4,FALSE))</f>
        <v>0</v>
      </c>
      <c r="Q83" s="56"/>
      <c r="R83" s="55" t="s">
        <v>3</v>
      </c>
      <c r="S83" s="228"/>
      <c r="T83" s="229" t="s">
        <v>24</v>
      </c>
    </row>
    <row r="84" spans="1:42" s="3" customFormat="1" ht="18" customHeight="1" x14ac:dyDescent="0.25">
      <c r="A84" s="43" t="s">
        <v>100</v>
      </c>
      <c r="B84" s="44" t="s">
        <v>101</v>
      </c>
      <c r="C84" s="45"/>
      <c r="D84" s="46"/>
      <c r="E84" s="92" t="s">
        <v>103</v>
      </c>
      <c r="F84" s="96">
        <v>2</v>
      </c>
      <c r="G84" s="49">
        <f>VLOOKUP(23564,[1]!qryExcelSlab[#Data],5,FALSE)</f>
        <v>0</v>
      </c>
      <c r="H84" s="50">
        <f>IF(G84=0,0,VLOOKUP(23564,[1]!qryExcelSlab[#Data],4,FALSE))</f>
        <v>0</v>
      </c>
      <c r="I84" s="49">
        <f>VLOOKUP(30364,[1]!qryExcelSlab[#Data],5,FALSE)</f>
        <v>7</v>
      </c>
      <c r="J84" s="51">
        <f>IF(I84=0,0,VLOOKUP(30364,[1]!qryExcelSlab[#Data],4,FALSE))</f>
        <v>30</v>
      </c>
      <c r="K84" s="52">
        <f>VLOOKUP(18186,[1]!qryExcelSlab[#Data],5,FALSE)</f>
        <v>11</v>
      </c>
      <c r="L84" s="90">
        <f>IF(K84=0,0,VLOOKUP(18186,[1]!qryExcelSlab[#Data],4,FALSE))</f>
        <v>39</v>
      </c>
      <c r="M84" s="49">
        <f>VLOOKUP(18213,[1]!qryExcelSlab[#Data],5,FALSE)</f>
        <v>22</v>
      </c>
      <c r="N84" s="97">
        <f>IF(M84=0,0,VLOOKUP(18213,[1]!qryExcelSlab[#Data],4,FALSE))</f>
        <v>53</v>
      </c>
      <c r="O84" s="49">
        <f>VLOOKUP(18215,[1]!qryExcelSlab[#Data],5,FALSE)</f>
        <v>7</v>
      </c>
      <c r="P84" s="51">
        <f>IF(O84=0,0,VLOOKUP(18215,[1]!qryExcelSlab[#Data],4,FALSE))</f>
        <v>63</v>
      </c>
      <c r="Q84" s="56"/>
      <c r="R84" s="51" t="s">
        <v>3</v>
      </c>
      <c r="S84" s="228"/>
      <c r="T84" s="245" t="s">
        <v>24</v>
      </c>
    </row>
    <row r="85" spans="1:42" s="3" customFormat="1" ht="18" customHeight="1" x14ac:dyDescent="0.25">
      <c r="A85" s="28"/>
      <c r="B85" s="73"/>
      <c r="C85" s="74"/>
      <c r="D85" s="75"/>
      <c r="E85" s="76"/>
      <c r="F85" s="103"/>
      <c r="G85" s="78"/>
      <c r="H85" s="79"/>
      <c r="I85" s="78"/>
      <c r="J85" s="81"/>
      <c r="K85" s="95"/>
      <c r="L85" s="83"/>
      <c r="M85" s="78"/>
      <c r="N85" s="104"/>
      <c r="O85" s="78"/>
      <c r="P85" s="83"/>
      <c r="Q85" s="80"/>
      <c r="R85" s="81"/>
      <c r="S85" s="228"/>
      <c r="T85" s="231"/>
    </row>
    <row r="86" spans="1:42" s="3" customFormat="1" ht="18" customHeight="1" x14ac:dyDescent="0.25">
      <c r="A86" s="43" t="s">
        <v>104</v>
      </c>
      <c r="B86" s="44" t="s">
        <v>105</v>
      </c>
      <c r="C86" s="45"/>
      <c r="D86" s="46" t="s">
        <v>102</v>
      </c>
      <c r="E86" s="92" t="s">
        <v>23</v>
      </c>
      <c r="F86" s="48">
        <v>3</v>
      </c>
      <c r="G86" s="49"/>
      <c r="H86" s="50"/>
      <c r="I86" s="49">
        <f>VLOOKUP(18187,[1]!qryExcelSlab[#Data],5,FALSE)</f>
        <v>0</v>
      </c>
      <c r="J86" s="51">
        <f>IF(I86=0,0,VLOOKUP(18187,[1]!qryExcelSlab[#Data],4,FALSE))</f>
        <v>0</v>
      </c>
      <c r="K86" s="52">
        <f>VLOOKUP(18216,[1]!qryExcelSlab[#Data],5,FALSE)</f>
        <v>19</v>
      </c>
      <c r="L86" s="53">
        <f>IF(K86=0,0,VLOOKUP(18216,[1]!qryExcelSlab[#Data],4,FALSE))</f>
        <v>47</v>
      </c>
      <c r="M86" s="49">
        <f>VLOOKUP(18218,[1]!qryExcelSlab[#Data],5,FALSE)</f>
        <v>6</v>
      </c>
      <c r="N86" s="54">
        <f>IF(M86=0,0,VLOOKUP(18218,[1]!qryExcelSlab[#Data],4,FALSE))</f>
        <v>59</v>
      </c>
      <c r="O86" s="49">
        <f>VLOOKUP(18220,[1]!qryExcelSlab[#Data],5,FALSE)</f>
        <v>0</v>
      </c>
      <c r="P86" s="55">
        <f>IF(O86=0,0,VLOOKUP(18220,[1]!qryExcelSlab[#Data],4,FALSE))</f>
        <v>0</v>
      </c>
      <c r="Q86" s="49"/>
      <c r="R86" s="55" t="s">
        <v>3</v>
      </c>
      <c r="S86" s="228"/>
      <c r="T86" s="229" t="s">
        <v>24</v>
      </c>
    </row>
    <row r="87" spans="1:42" s="3" customFormat="1" ht="18" customHeight="1" x14ac:dyDescent="0.25">
      <c r="A87" s="246" t="s">
        <v>104</v>
      </c>
      <c r="B87" s="44" t="s">
        <v>105</v>
      </c>
      <c r="C87" s="45"/>
      <c r="D87" s="46" t="s">
        <v>106</v>
      </c>
      <c r="E87" s="92" t="s">
        <v>26</v>
      </c>
      <c r="F87" s="96">
        <v>2</v>
      </c>
      <c r="G87" s="49"/>
      <c r="H87" s="89"/>
      <c r="I87" s="49">
        <f>VLOOKUP(20965,[1]!qryExcelSlab[#Data],5,FALSE)</f>
        <v>0</v>
      </c>
      <c r="J87" s="51">
        <f>IF(I87=0,0,VLOOKUP(20965,[1]!qryExcelSlab[#Data],4,FALSE))</f>
        <v>0</v>
      </c>
      <c r="K87" s="52">
        <f>VLOOKUP(20964,[1]!qryExcelSlab[#Data],5,FALSE)</f>
        <v>0</v>
      </c>
      <c r="L87" s="90">
        <f>IF(K87=0,0,VLOOKUP(20964,[1]!qryExcelSlab[#Data],4,FALSE))</f>
        <v>0</v>
      </c>
      <c r="M87" s="49"/>
      <c r="N87" s="97">
        <f>IF(M87=0,0,3)</f>
        <v>0</v>
      </c>
      <c r="O87" s="49">
        <f>VLOOKUP(20962,[1]!qryExcelSlab[#Data],5,FALSE)</f>
        <v>0</v>
      </c>
      <c r="P87" s="51">
        <f>IF(O87=0,0,VLOOKUP(20962,[1]!qryExcelSlab[#Data],4,FALSE))</f>
        <v>0</v>
      </c>
      <c r="Q87" s="49">
        <f>VLOOKUP(20961,[1]!qryExcelSlab[#Data],5,FALSE)</f>
        <v>0</v>
      </c>
      <c r="R87" s="51">
        <f>IF(Q87=0,0,VLOOKUP(20961,[1]!qryExcelSlab[#Data],4,FALSE))</f>
        <v>0</v>
      </c>
      <c r="S87" s="238">
        <f>VLOOKUP(20960,[1]!qryExcelSlab[#Data],5,FALSE)</f>
        <v>0</v>
      </c>
      <c r="T87" s="245" t="s">
        <v>24</v>
      </c>
    </row>
    <row r="88" spans="1:42" s="3" customFormat="1" ht="18" customHeight="1" x14ac:dyDescent="0.25">
      <c r="A88" s="246" t="s">
        <v>104</v>
      </c>
      <c r="B88" s="44" t="s">
        <v>105</v>
      </c>
      <c r="C88" s="45"/>
      <c r="D88" s="46"/>
      <c r="E88" s="92" t="s">
        <v>103</v>
      </c>
      <c r="F88" s="96">
        <v>2</v>
      </c>
      <c r="G88" s="49">
        <f>VLOOKUP(23927,[1]!qryExcelSlab[#Data],5,FALSE)</f>
        <v>4</v>
      </c>
      <c r="H88" s="50">
        <f>IF(G88=0,0,VLOOKUP(23927,[1]!qryExcelSlab[#Data],4,FALSE))</f>
        <v>17.5</v>
      </c>
      <c r="I88" s="49">
        <f>VLOOKUP(30365,[1]!qryExcelSlab[#Data],5,FALSE)</f>
        <v>0</v>
      </c>
      <c r="J88" s="51">
        <f>IF(I88=0,0,VLOOKUP(30365,[1]!qryExcelSlab[#Data],4,FALSE))</f>
        <v>0</v>
      </c>
      <c r="K88" s="52">
        <f>VLOOKUP(22782,[1]!qryExcelSlab[#Data],5,FALSE)</f>
        <v>16</v>
      </c>
      <c r="L88" s="90">
        <f>IF(K88=0,0,VLOOKUP(22782,[1]!qryExcelSlab[#Data],4,FALSE))</f>
        <v>39</v>
      </c>
      <c r="M88" s="49">
        <f>VLOOKUP(18221,[1]!qryExcelSlab[#Data],5,FALSE)</f>
        <v>6</v>
      </c>
      <c r="N88" s="97">
        <f>IF(M88=0,0,VLOOKUP(18221,[1]!qryExcelSlab[#Data],4,FALSE))</f>
        <v>53</v>
      </c>
      <c r="O88" s="49">
        <f>VLOOKUP(23730,[1]!qryExcelSlab[#Data],5,FALSE)</f>
        <v>7</v>
      </c>
      <c r="P88" s="51">
        <f>IF(O88=0,0,VLOOKUP(23730,[1]!qryExcelSlab[#Data],4,FALSE))</f>
        <v>63</v>
      </c>
      <c r="Q88" s="49"/>
      <c r="R88" s="51" t="s">
        <v>3</v>
      </c>
      <c r="S88" s="228"/>
      <c r="T88" s="245" t="s">
        <v>24</v>
      </c>
    </row>
    <row r="89" spans="1:42" s="3" customFormat="1" ht="18" customHeight="1" x14ac:dyDescent="0.25">
      <c r="A89" s="28"/>
      <c r="B89" s="73"/>
      <c r="C89" s="74"/>
      <c r="D89" s="75"/>
      <c r="E89" s="76"/>
      <c r="F89" s="103"/>
      <c r="G89" s="78"/>
      <c r="H89" s="79"/>
      <c r="I89" s="78"/>
      <c r="J89" s="81"/>
      <c r="K89" s="95"/>
      <c r="L89" s="83"/>
      <c r="M89" s="78"/>
      <c r="N89" s="104"/>
      <c r="O89" s="78"/>
      <c r="P89" s="83"/>
      <c r="Q89" s="78"/>
      <c r="R89" s="81"/>
      <c r="S89" s="247"/>
      <c r="T89" s="231"/>
    </row>
    <row r="90" spans="1:42" s="3" customFormat="1" ht="18" customHeight="1" x14ac:dyDescent="0.25">
      <c r="A90" s="43" t="s">
        <v>107</v>
      </c>
      <c r="B90" s="44" t="s">
        <v>108</v>
      </c>
      <c r="C90" s="45"/>
      <c r="D90" s="46"/>
      <c r="E90" s="92" t="s">
        <v>31</v>
      </c>
      <c r="F90" s="96">
        <v>2</v>
      </c>
      <c r="G90" s="49">
        <f>VLOOKUP(23452,[1]!qryExcelSlab[#Data],5,FALSE)</f>
        <v>0</v>
      </c>
      <c r="H90" s="50">
        <f>IF(G90=0,0,VLOOKUP(23452,[1]!qryExcelSlab[#Data],4,FALSE))</f>
        <v>0</v>
      </c>
      <c r="I90" s="49">
        <f>VLOOKUP(30044,[1]!qryExcelSlab[#Data],5,FALSE)</f>
        <v>8</v>
      </c>
      <c r="J90" s="51">
        <f>IF(I90=0,0,VLOOKUP(30044,[1]!qryExcelSlab[#Data],4,FALSE))</f>
        <v>30</v>
      </c>
      <c r="K90" s="52">
        <f>VLOOKUP(19758,[1]!qryExcelSlab[#Data],5,FALSE)</f>
        <v>18</v>
      </c>
      <c r="L90" s="90">
        <f>IF(K90=0,0,VLOOKUP(19758,[1]!qryExcelSlab[#Data],4,FALSE))</f>
        <v>39</v>
      </c>
      <c r="M90" s="49">
        <f>VLOOKUP(18222,[1]!qryExcelSlab[#Data],5,FALSE)</f>
        <v>0</v>
      </c>
      <c r="N90" s="97">
        <f>IF(M90=0,0,VLOOKUP(18222,[1]!qryExcelSlab[#Data],4,FALSE))</f>
        <v>0</v>
      </c>
      <c r="O90" s="49">
        <f>VLOOKUP(18224,[1]!qryExcelSlab[#Data],5,FALSE)</f>
        <v>3</v>
      </c>
      <c r="P90" s="51">
        <f>IF(O90=0,0,VLOOKUP(18224,[1]!qryExcelSlab[#Data],4,FALSE))</f>
        <v>63</v>
      </c>
      <c r="Q90" s="49"/>
      <c r="R90" s="51" t="s">
        <v>3</v>
      </c>
      <c r="S90" s="228"/>
      <c r="T90" s="245" t="s">
        <v>24</v>
      </c>
    </row>
    <row r="91" spans="1:42" s="3" customFormat="1" ht="18" customHeight="1" x14ac:dyDescent="0.25">
      <c r="A91" s="28"/>
      <c r="B91" s="73"/>
      <c r="C91" s="74"/>
      <c r="D91" s="75"/>
      <c r="E91" s="76"/>
      <c r="F91" s="248"/>
      <c r="G91" s="78"/>
      <c r="H91" s="79"/>
      <c r="I91" s="78"/>
      <c r="J91" s="81"/>
      <c r="K91" s="95"/>
      <c r="L91" s="83"/>
      <c r="M91" s="78"/>
      <c r="N91" s="104"/>
      <c r="O91" s="78"/>
      <c r="P91" s="83"/>
      <c r="Q91" s="78"/>
      <c r="R91" s="81"/>
      <c r="S91" s="247"/>
      <c r="T91" s="231"/>
    </row>
    <row r="92" spans="1:42" s="3" customFormat="1" ht="18" customHeight="1" x14ac:dyDescent="0.25">
      <c r="A92" s="43" t="s">
        <v>109</v>
      </c>
      <c r="B92" s="44" t="s">
        <v>110</v>
      </c>
      <c r="C92" s="45"/>
      <c r="D92" s="46" t="s">
        <v>94</v>
      </c>
      <c r="E92" s="92" t="s">
        <v>95</v>
      </c>
      <c r="F92" s="48">
        <v>3</v>
      </c>
      <c r="G92" s="49"/>
      <c r="H92" s="50"/>
      <c r="I92" s="49">
        <f>VLOOKUP(21076,[1]!qryExcelSlab[#Data],5,FALSE)</f>
        <v>0</v>
      </c>
      <c r="J92" s="51">
        <f>IF(I92=0,0,VLOOKUP(21076,[1]!qryExcelSlab[#Data],4,FALSE))</f>
        <v>0</v>
      </c>
      <c r="K92" s="52">
        <f>VLOOKUP(21075,[1]!qryExcelSlab[#Data],5,FALSE)</f>
        <v>10</v>
      </c>
      <c r="L92" s="53">
        <f>IF(K92=0,0,VLOOKUP(21075,[1]!qryExcelSlab[#Data],4,FALSE))</f>
        <v>47</v>
      </c>
      <c r="M92" s="49">
        <f>VLOOKUP(21074,[1]!qryExcelSlab[#Data],5,FALSE)</f>
        <v>1</v>
      </c>
      <c r="N92" s="54">
        <f>IF(M92=0,0,VLOOKUP(21074,[1]!qryExcelSlab[#Data],4,FALSE))</f>
        <v>59</v>
      </c>
      <c r="O92" s="49">
        <f>VLOOKUP(21073,[1]!qryExcelSlab[#Data],5,FALSE)</f>
        <v>0</v>
      </c>
      <c r="P92" s="55">
        <f>IF(O92=0,0,VLOOKUP(21073,[1]!qryExcelSlab[#Data],4,FALSE))</f>
        <v>0</v>
      </c>
      <c r="Q92" s="49"/>
      <c r="R92" s="55" t="s">
        <v>3</v>
      </c>
      <c r="S92" s="228"/>
      <c r="T92" s="229" t="s">
        <v>24</v>
      </c>
    </row>
    <row r="93" spans="1:42" s="3" customFormat="1" ht="18" customHeight="1" x14ac:dyDescent="0.25">
      <c r="A93" s="43" t="s">
        <v>109</v>
      </c>
      <c r="B93" s="44" t="s">
        <v>110</v>
      </c>
      <c r="C93" s="249"/>
      <c r="D93" s="46"/>
      <c r="E93" s="92" t="s">
        <v>31</v>
      </c>
      <c r="F93" s="96">
        <v>1</v>
      </c>
      <c r="G93" s="49"/>
      <c r="H93" s="89"/>
      <c r="I93" s="49">
        <f>VLOOKUP(21065,[1]!qryExcelSlab[#Data],5,FALSE)</f>
        <v>6</v>
      </c>
      <c r="J93" s="51">
        <f>IF(I93=0,0,VLOOKUP(21065,[1]!qryExcelSlab[#Data],4,FALSE))</f>
        <v>27</v>
      </c>
      <c r="K93" s="52">
        <f>VLOOKUP(18226,[1]!qryExcelSlab[#Data],5,FALSE)</f>
        <v>43</v>
      </c>
      <c r="L93" s="53">
        <f>IF(K93=0,0,VLOOKUP(18226,[1]!qryExcelSlab[#Data],4,FALSE))</f>
        <v>34</v>
      </c>
      <c r="M93" s="49">
        <f>VLOOKUP(21063,[1]!qryExcelSlab[#Data],5,FALSE)</f>
        <v>30</v>
      </c>
      <c r="N93" s="54">
        <f>IF(M93=0,0,VLOOKUP(21063,[1]!qryExcelSlab[#Data],4,FALSE))</f>
        <v>49</v>
      </c>
      <c r="O93" s="49">
        <f>VLOOKUP(20766,[1]!qryExcelSlab[#Data],5,FALSE)</f>
        <v>0</v>
      </c>
      <c r="P93" s="55">
        <f>IF(O93=0,0,VLOOKUP(20766,[1]!qryExcelSlab[#Data],4,FALSE))</f>
        <v>0</v>
      </c>
      <c r="Q93" s="49"/>
      <c r="R93" s="55" t="s">
        <v>3</v>
      </c>
      <c r="S93" s="228"/>
      <c r="T93" s="229" t="s">
        <v>24</v>
      </c>
    </row>
    <row r="94" spans="1:42" s="3" customFormat="1" ht="18" customHeight="1" x14ac:dyDescent="0.25">
      <c r="A94" s="43" t="s">
        <v>109</v>
      </c>
      <c r="B94" s="44" t="s">
        <v>110</v>
      </c>
      <c r="C94" s="45"/>
      <c r="D94" s="46"/>
      <c r="E94" s="92" t="s">
        <v>30</v>
      </c>
      <c r="F94" s="96">
        <v>1</v>
      </c>
      <c r="G94" s="49">
        <f>VLOOKUP(23925,[1]!qryExcelSlab[#Data],5,FALSE)</f>
        <v>21</v>
      </c>
      <c r="H94" s="50">
        <f>IF(G94=0,0,VLOOKUP(23925,[1]!qryExcelSlab[#Data],4,FALSE))</f>
        <v>17.5</v>
      </c>
      <c r="I94" s="49"/>
      <c r="J94" s="51">
        <f>IF(I94=0,0,7)</f>
        <v>0</v>
      </c>
      <c r="K94" s="52">
        <f>VLOOKUP(21069,[1]!qryExcelSlab[#Data],5,FALSE)</f>
        <v>9</v>
      </c>
      <c r="L94" s="53">
        <f>IF(K94=0,0,VLOOKUP(21069,[1]!qryExcelSlab[#Data],4,FALSE))</f>
        <v>34</v>
      </c>
      <c r="M94" s="49">
        <f>VLOOKUP(21068,[1]!qryExcelSlab[#Data],5,FALSE)</f>
        <v>5</v>
      </c>
      <c r="N94" s="54">
        <f>IF(M94=0,0,VLOOKUP(21068,[1]!qryExcelSlab[#Data],4,FALSE))</f>
        <v>49</v>
      </c>
      <c r="O94" s="49">
        <f>VLOOKUP(21067,[1]!qryExcelSlab[#Data],5,FALSE)</f>
        <v>0</v>
      </c>
      <c r="P94" s="55">
        <f>IF(O94=0,0,VLOOKUP(21067,[1]!qryExcelSlab[#Data],4,FALSE))</f>
        <v>0</v>
      </c>
      <c r="Q94" s="49"/>
      <c r="R94" s="55" t="s">
        <v>3</v>
      </c>
      <c r="S94" s="228"/>
      <c r="T94" s="229" t="s">
        <v>24</v>
      </c>
    </row>
    <row r="95" spans="1:42" s="3" customFormat="1" ht="18" customHeight="1" x14ac:dyDescent="0.25">
      <c r="A95" s="28"/>
      <c r="B95" s="73"/>
      <c r="C95" s="74"/>
      <c r="D95" s="75"/>
      <c r="E95" s="76"/>
      <c r="F95" s="103"/>
      <c r="G95" s="78"/>
      <c r="H95" s="79"/>
      <c r="I95" s="78"/>
      <c r="J95" s="81"/>
      <c r="K95" s="95"/>
      <c r="L95" s="83"/>
      <c r="M95" s="78"/>
      <c r="N95" s="104"/>
      <c r="O95" s="78"/>
      <c r="P95" s="83"/>
      <c r="Q95" s="78"/>
      <c r="R95" s="81"/>
      <c r="S95" s="247"/>
      <c r="T95" s="231"/>
    </row>
    <row r="96" spans="1:42" s="258" customFormat="1" ht="18" customHeight="1" x14ac:dyDescent="0.25">
      <c r="A96" s="250" t="s">
        <v>88</v>
      </c>
      <c r="B96" s="251" t="s">
        <v>111</v>
      </c>
      <c r="C96" s="252"/>
      <c r="D96" s="253" t="s">
        <v>112</v>
      </c>
      <c r="E96" s="87" t="s">
        <v>95</v>
      </c>
      <c r="F96" s="195"/>
      <c r="G96" s="49">
        <f>VLOOKUP(30638,[1]!qryExcelSlab[#Data],5,FALSE)</f>
        <v>0</v>
      </c>
      <c r="H96" s="50">
        <f>VLOOKUP(30638,[1]!qryExcelSlab[#Data],4,FALSE)</f>
        <v>0</v>
      </c>
      <c r="I96" s="254"/>
      <c r="J96" s="55"/>
      <c r="K96" s="255"/>
      <c r="L96" s="53"/>
      <c r="M96" s="254"/>
      <c r="N96" s="256"/>
      <c r="O96" s="254"/>
      <c r="P96" s="53"/>
      <c r="Q96" s="254"/>
      <c r="R96" s="55"/>
      <c r="S96" s="257"/>
      <c r="T96" s="229" t="s">
        <v>24</v>
      </c>
      <c r="U96" s="3" t="s">
        <v>3</v>
      </c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1:21" s="3" customFormat="1" ht="18" customHeight="1" x14ac:dyDescent="0.25">
      <c r="A97" s="28"/>
      <c r="B97" s="73"/>
      <c r="C97" s="74"/>
      <c r="D97" s="75"/>
      <c r="E97" s="76"/>
      <c r="F97" s="103"/>
      <c r="G97" s="78"/>
      <c r="H97" s="79"/>
      <c r="I97" s="78"/>
      <c r="J97" s="81"/>
      <c r="K97" s="95"/>
      <c r="L97" s="83"/>
      <c r="M97" s="78"/>
      <c r="N97" s="104"/>
      <c r="O97" s="78"/>
      <c r="P97" s="83"/>
      <c r="Q97" s="78"/>
      <c r="R97" s="81"/>
      <c r="S97" s="247"/>
      <c r="T97" s="231"/>
    </row>
    <row r="98" spans="1:21" s="3" customFormat="1" ht="18" customHeight="1" x14ac:dyDescent="0.25">
      <c r="A98" s="43" t="s">
        <v>113</v>
      </c>
      <c r="B98" s="44" t="s">
        <v>114</v>
      </c>
      <c r="C98" s="45"/>
      <c r="D98" s="46" t="s">
        <v>115</v>
      </c>
      <c r="E98" s="92" t="s">
        <v>95</v>
      </c>
      <c r="F98" s="88">
        <v>5</v>
      </c>
      <c r="G98" s="49">
        <f>VLOOKUP(20954,[1]!qryExcelSlab[#Data],5,FALSE)</f>
        <v>0</v>
      </c>
      <c r="H98" s="90">
        <f>IF(G98=0,0,VLOOKUP(20954,[1]!qryExcelSlab[#Data],4,FALSE))</f>
        <v>0</v>
      </c>
      <c r="I98" s="49">
        <f>VLOOKUP(20959,[1]!qryExcelSlab[#Data],5,FALSE)</f>
        <v>4</v>
      </c>
      <c r="J98" s="51">
        <f>IF(I98=0,0,VLOOKUP(20959,[1]!qryExcelSlab[#Data],4,FALSE))</f>
        <v>47</v>
      </c>
      <c r="K98" s="52">
        <f>VLOOKUP(20958,[1]!qryExcelSlab[#Data],5,FALSE)</f>
        <v>10</v>
      </c>
      <c r="L98" s="90">
        <f>IF(K98=0,0,VLOOKUP(20958,[1]!qryExcelSlab[#Data],4,FALSE))</f>
        <v>57</v>
      </c>
      <c r="M98" s="49">
        <f>VLOOKUP(20957,[1]!qryExcelSlab[#Data],5,FALSE)</f>
        <v>7</v>
      </c>
      <c r="N98" s="91">
        <f>IF(M98=0,0,VLOOKUP(20957,[1]!qryExcelSlab[#Data],4,FALSE))</f>
        <v>67</v>
      </c>
      <c r="O98" s="49">
        <f>VLOOKUP(20956,[1]!qryExcelSlab[#Data],5,FALSE)</f>
        <v>1</v>
      </c>
      <c r="P98" s="90">
        <f>IF(O98=0,0,VLOOKUP(20956,[1]!qryExcelSlab[#Data],4,FALSE))</f>
        <v>77</v>
      </c>
      <c r="Q98" s="49">
        <f>VLOOKUP(20955,[1]!qryExcelSlab[#Data],5,FALSE)</f>
        <v>0</v>
      </c>
      <c r="R98" s="51">
        <f>IF(Q98=0,0,VLOOKUP(20955,[1]!qryExcelSlab[#Data],4,FALSE))</f>
        <v>0</v>
      </c>
      <c r="S98" s="228"/>
      <c r="T98" s="229" t="s">
        <v>24</v>
      </c>
    </row>
    <row r="99" spans="1:21" s="3" customFormat="1" ht="18" customHeight="1" x14ac:dyDescent="0.25">
      <c r="A99" s="28"/>
      <c r="B99" s="73"/>
      <c r="C99" s="74"/>
      <c r="D99" s="75"/>
      <c r="E99" s="76"/>
      <c r="F99" s="77"/>
      <c r="G99" s="78"/>
      <c r="H99" s="79"/>
      <c r="I99" s="78"/>
      <c r="J99" s="81"/>
      <c r="K99" s="95"/>
      <c r="L99" s="83"/>
      <c r="M99" s="78"/>
      <c r="N99" s="104"/>
      <c r="O99" s="78"/>
      <c r="P99" s="83"/>
      <c r="Q99" s="78"/>
      <c r="R99" s="81"/>
      <c r="S99" s="247"/>
      <c r="T99" s="231"/>
    </row>
    <row r="100" spans="1:21" s="3" customFormat="1" ht="18" customHeight="1" x14ac:dyDescent="0.25">
      <c r="A100" s="43" t="s">
        <v>116</v>
      </c>
      <c r="B100" s="44" t="s">
        <v>117</v>
      </c>
      <c r="C100" s="45"/>
      <c r="D100" s="46" t="s">
        <v>102</v>
      </c>
      <c r="E100" s="92" t="s">
        <v>23</v>
      </c>
      <c r="F100" s="48">
        <v>3</v>
      </c>
      <c r="G100" s="49"/>
      <c r="H100" s="50"/>
      <c r="I100" s="49">
        <f>VLOOKUP(22359,[1]!qryExcelSlab[#Data],5,FALSE)</f>
        <v>0</v>
      </c>
      <c r="J100" s="51">
        <f>IF(I100=0,0,VLOOKUP(22359,[1]!qryExcelSlab[#Data],4,FALSE))</f>
        <v>0</v>
      </c>
      <c r="K100" s="52">
        <f>VLOOKUP(18190,[1]!qryExcelSlab[#Data],5,FALSE)</f>
        <v>16</v>
      </c>
      <c r="L100" s="53">
        <f>IF(K100=0,0,VLOOKUP(18190,[1]!qryExcelSlab[#Data],4,FALSE))</f>
        <v>47</v>
      </c>
      <c r="M100" s="49">
        <f>VLOOKUP(18229,[1]!qryExcelSlab[#Data],5,FALSE)</f>
        <v>12</v>
      </c>
      <c r="N100" s="54">
        <f>IF(M100=0,0,VLOOKUP(18229,[1]!qryExcelSlab[#Data],4,FALSE))</f>
        <v>59</v>
      </c>
      <c r="O100" s="49">
        <f>VLOOKUP(18231,[1]!qryExcelSlab[#Data],5,FALSE)</f>
        <v>2</v>
      </c>
      <c r="P100" s="55">
        <f>IF(O100=0,0,VLOOKUP(18231,[1]!qryExcelSlab[#Data],4,FALSE))</f>
        <v>69</v>
      </c>
      <c r="Q100" s="49">
        <f>VLOOKUP(18232,[1]!qryExcelSlab[#Data],5,FALSE)</f>
        <v>0</v>
      </c>
      <c r="R100" s="55">
        <f>IF(Q100=0,0,VLOOKUP(18232,[1]!qryExcelSlab[#Data],4,FALSE))</f>
        <v>0</v>
      </c>
      <c r="S100" s="238">
        <f>VLOOKUP(20890,[1]!qryExcelSlab[#Data],5,FALSE)</f>
        <v>0</v>
      </c>
      <c r="T100" s="229" t="s">
        <v>24</v>
      </c>
    </row>
    <row r="101" spans="1:21" s="3" customFormat="1" ht="18" customHeight="1" x14ac:dyDescent="0.25">
      <c r="A101" s="43" t="s">
        <v>116</v>
      </c>
      <c r="B101" s="44" t="s">
        <v>117</v>
      </c>
      <c r="C101" s="45"/>
      <c r="D101" s="46"/>
      <c r="E101" s="92" t="s">
        <v>103</v>
      </c>
      <c r="F101" s="96">
        <v>2</v>
      </c>
      <c r="G101" s="49">
        <f>VLOOKUP(23565,[1]!qryExcelSlab[#Data],5,FALSE)</f>
        <v>0</v>
      </c>
      <c r="H101" s="50">
        <f>VLOOKUP(23565,[1]!qryExcelSlab[#Data],4,FALSE)</f>
        <v>17.5</v>
      </c>
      <c r="I101" s="49">
        <f>VLOOKUP(30013,[1]!qryExcelSlab[#Data],5,FALSE)</f>
        <v>1</v>
      </c>
      <c r="J101" s="51">
        <f>IF(I101=0,0,VLOOKUP(30013,[1]!qryExcelSlab[#Data],4,FALSE))</f>
        <v>30</v>
      </c>
      <c r="K101" s="52">
        <f>VLOOKUP(21824,[1]!qryExcelSlab[#Data],5,FALSE)</f>
        <v>50</v>
      </c>
      <c r="L101" s="90">
        <f>IF(K101=0,0,VLOOKUP(21824,[1]!qryExcelSlab[#Data],4,FALSE))</f>
        <v>39</v>
      </c>
      <c r="M101" s="49">
        <f>VLOOKUP(21823,[1]!qryExcelSlab[#Data],5,FALSE)</f>
        <v>48</v>
      </c>
      <c r="N101" s="97">
        <f>IF(M101=0,0,VLOOKUP(21823,[1]!qryExcelSlab[#Data],4,FALSE))</f>
        <v>53</v>
      </c>
      <c r="O101" s="49">
        <f>VLOOKUP(21822,[1]!qryExcelSlab[#Data],5,FALSE)</f>
        <v>9</v>
      </c>
      <c r="P101" s="51">
        <f>IF(O101=0,0,VLOOKUP(21822,[1]!qryExcelSlab[#Data],5,FALSE))</f>
        <v>9</v>
      </c>
      <c r="Q101" s="56"/>
      <c r="R101" s="51" t="s">
        <v>3</v>
      </c>
      <c r="S101" s="228"/>
      <c r="T101" s="245" t="s">
        <v>24</v>
      </c>
    </row>
    <row r="102" spans="1:21" s="3" customFormat="1" ht="18" customHeight="1" x14ac:dyDescent="0.25">
      <c r="A102" s="43" t="s">
        <v>116</v>
      </c>
      <c r="B102" s="44" t="s">
        <v>117</v>
      </c>
      <c r="C102" s="45"/>
      <c r="D102" s="46" t="s">
        <v>106</v>
      </c>
      <c r="E102" s="92" t="s">
        <v>26</v>
      </c>
      <c r="F102" s="96">
        <v>2</v>
      </c>
      <c r="G102" s="49"/>
      <c r="H102" s="89"/>
      <c r="I102" s="49"/>
      <c r="J102" s="51">
        <f>IF(I102=0,0,0)</f>
        <v>0</v>
      </c>
      <c r="K102" s="52">
        <f>VLOOKUP(21826,[1]!qryExcelSlab[#Data],5,FALSE)</f>
        <v>19</v>
      </c>
      <c r="L102" s="90">
        <f>IF(K102=0,0,VLOOKUP(21826,[1]!qryExcelSlab[#Data],4,FALSE))</f>
        <v>39</v>
      </c>
      <c r="M102" s="49">
        <f>VLOOKUP(21827,[1]!qryExcelSlab[#Data],5,FALSE)</f>
        <v>4</v>
      </c>
      <c r="N102" s="97">
        <f>IF(M102=0,0,VLOOKUP(21827,[1]!qryExcelSlab[#Data],4,FALSE))</f>
        <v>53</v>
      </c>
      <c r="O102" s="49"/>
      <c r="P102" s="51" t="s">
        <v>3</v>
      </c>
      <c r="Q102" s="56"/>
      <c r="R102" s="51" t="s">
        <v>3</v>
      </c>
      <c r="S102" s="228"/>
      <c r="T102" s="245" t="s">
        <v>24</v>
      </c>
      <c r="U102" s="3" t="s">
        <v>3</v>
      </c>
    </row>
    <row r="103" spans="1:21" s="3" customFormat="1" ht="18" customHeight="1" x14ac:dyDescent="0.25">
      <c r="A103" s="28"/>
      <c r="B103" s="73"/>
      <c r="C103" s="74"/>
      <c r="D103" s="75"/>
      <c r="E103" s="76"/>
      <c r="F103" s="103"/>
      <c r="G103" s="78"/>
      <c r="H103" s="79"/>
      <c r="I103" s="78"/>
      <c r="J103" s="81"/>
      <c r="K103" s="95"/>
      <c r="L103" s="83"/>
      <c r="M103" s="78"/>
      <c r="N103" s="104"/>
      <c r="O103" s="78"/>
      <c r="P103" s="83"/>
      <c r="Q103" s="80"/>
      <c r="R103" s="81"/>
      <c r="S103" s="247"/>
      <c r="T103" s="231"/>
    </row>
    <row r="104" spans="1:21" s="3" customFormat="1" ht="18" customHeight="1" x14ac:dyDescent="0.25">
      <c r="A104" s="43" t="s">
        <v>118</v>
      </c>
      <c r="B104" s="44" t="s">
        <v>119</v>
      </c>
      <c r="C104" s="45"/>
      <c r="D104" s="46"/>
      <c r="E104" s="92" t="s">
        <v>120</v>
      </c>
      <c r="F104" s="48">
        <v>3</v>
      </c>
      <c r="G104" s="49">
        <f>VLOOKUP(29958,[1]!qryExcelSlab[#Data],5,FALSE)</f>
        <v>0</v>
      </c>
      <c r="H104" s="50">
        <f>IF(G104=0,0,VLOOKUP(29958,[1]!qryExcelSlab[#Data],4,FALSE))</f>
        <v>0</v>
      </c>
      <c r="I104" s="49">
        <f>VLOOKUP(18197,[1]!qryExcelSlab[#Data],5,FALSE)</f>
        <v>5</v>
      </c>
      <c r="J104" s="51">
        <f>IF(I104=0,0,VLOOKUP(18197,[1]!qryExcelSlab[#Data],4,FALSE))</f>
        <v>37</v>
      </c>
      <c r="K104" s="52">
        <f>VLOOKUP(18233,[1]!qryExcelSlab[#Data],5,FALSE)</f>
        <v>39</v>
      </c>
      <c r="L104" s="53">
        <f>IF(K104=0,0,VLOOKUP(18233,[1]!qryExcelSlab[#Data],4,FALSE))</f>
        <v>47</v>
      </c>
      <c r="M104" s="49">
        <f>VLOOKUP(18235,[1]!qryExcelSlab[#Data],5,FALSE)</f>
        <v>30</v>
      </c>
      <c r="N104" s="54">
        <f>IF(M104=0,0,VLOOKUP(18235,[1]!qryExcelSlab[#Data],4,FALSE))</f>
        <v>59</v>
      </c>
      <c r="O104" s="49">
        <f>VLOOKUP(18237,[1]!qryExcelSlab[#Data],5,FALSE)</f>
        <v>12</v>
      </c>
      <c r="P104" s="55">
        <f>IF(O104=0,0,VLOOKUP(18237,[1]!qryExcelSlab[#Data],4,FALSE))</f>
        <v>69</v>
      </c>
      <c r="Q104" s="49">
        <f>VLOOKUP(18238,[1]!qryExcelSlab[#Data],5,FALSE)</f>
        <v>2</v>
      </c>
      <c r="R104" s="55">
        <f>IF(Q104=0,0,VLOOKUP(18238,[1]!qryExcelSlab[#Data],4,FALSE))</f>
        <v>74</v>
      </c>
      <c r="S104" s="228"/>
      <c r="T104" s="229" t="s">
        <v>24</v>
      </c>
    </row>
    <row r="105" spans="1:21" s="3" customFormat="1" ht="18" customHeight="1" x14ac:dyDescent="0.25">
      <c r="A105" s="43" t="s">
        <v>118</v>
      </c>
      <c r="B105" s="44" t="s">
        <v>119</v>
      </c>
      <c r="C105" s="45"/>
      <c r="D105" s="46" t="s">
        <v>106</v>
      </c>
      <c r="E105" s="92" t="s">
        <v>26</v>
      </c>
      <c r="F105" s="96">
        <v>2</v>
      </c>
      <c r="G105" s="49"/>
      <c r="H105" s="89"/>
      <c r="I105" s="49">
        <f>VLOOKUP(21836,[1]!qryExcelSlab[#Data],5,FALSE)</f>
        <v>13</v>
      </c>
      <c r="J105" s="51">
        <f>IF(I105=0,0,VLOOKUP(21836,[1]!qryExcelSlab[#Data],4,FALSE))</f>
        <v>30</v>
      </c>
      <c r="K105" s="52">
        <f>VLOOKUP(21835,[1]!qryExcelSlab[#Data],5,FALSE)</f>
        <v>9</v>
      </c>
      <c r="L105" s="90">
        <f>IF(K105=0,0,VLOOKUP(21835,[1]!qryExcelSlab[#Data],4,FALSE))</f>
        <v>39</v>
      </c>
      <c r="M105" s="49">
        <f>VLOOKUP(21834,[1]!qryExcelSlab[#Data],5,FALSE)</f>
        <v>0</v>
      </c>
      <c r="N105" s="97">
        <f>IF(M105=0,0,VLOOKUP(21834,[1]!qryExcelSlab[#Data],4,FALSE))</f>
        <v>0</v>
      </c>
      <c r="O105" s="49"/>
      <c r="P105" s="51" t="s">
        <v>3</v>
      </c>
      <c r="Q105" s="56"/>
      <c r="R105" s="51" t="s">
        <v>3</v>
      </c>
      <c r="S105" s="228"/>
      <c r="T105" s="245" t="s">
        <v>24</v>
      </c>
    </row>
    <row r="106" spans="1:21" s="3" customFormat="1" ht="18" customHeight="1" x14ac:dyDescent="0.25">
      <c r="A106" s="102"/>
      <c r="B106" s="73"/>
      <c r="C106" s="74"/>
      <c r="D106" s="75"/>
      <c r="E106" s="76"/>
      <c r="F106" s="103"/>
      <c r="G106" s="78"/>
      <c r="H106" s="79"/>
      <c r="I106" s="78"/>
      <c r="J106" s="81"/>
      <c r="K106" s="95"/>
      <c r="L106" s="83"/>
      <c r="M106" s="78"/>
      <c r="N106" s="104"/>
      <c r="O106" s="78"/>
      <c r="P106" s="83" t="s">
        <v>3</v>
      </c>
      <c r="Q106" s="80"/>
      <c r="R106" s="81"/>
      <c r="S106" s="247"/>
      <c r="T106" s="231"/>
    </row>
    <row r="107" spans="1:21" s="3" customFormat="1" ht="18" customHeight="1" x14ac:dyDescent="0.25">
      <c r="A107" s="98" t="s">
        <v>121</v>
      </c>
      <c r="B107" s="44" t="s">
        <v>122</v>
      </c>
      <c r="C107" s="45"/>
      <c r="D107" s="46"/>
      <c r="E107" s="92" t="s">
        <v>23</v>
      </c>
      <c r="F107" s="88">
        <v>5</v>
      </c>
      <c r="G107" s="49"/>
      <c r="H107" s="89"/>
      <c r="I107" s="56"/>
      <c r="J107" s="51" t="s">
        <v>3</v>
      </c>
      <c r="K107" s="52">
        <f>VLOOKUP(23732,[1]!qryExcelSlab[#Data],5,FALSE)</f>
        <v>2</v>
      </c>
      <c r="L107" s="90">
        <f>IF(K107=0,0,VLOOKUP(23732,[1]!qryExcelSlab[#Data],4,FALSE))</f>
        <v>57</v>
      </c>
      <c r="M107" s="49"/>
      <c r="N107" s="91" t="s">
        <v>3</v>
      </c>
      <c r="O107" s="49"/>
      <c r="P107" s="90" t="s">
        <v>3</v>
      </c>
      <c r="Q107" s="56"/>
      <c r="R107" s="51" t="s">
        <v>3</v>
      </c>
      <c r="S107" s="228"/>
      <c r="T107" s="229" t="s">
        <v>24</v>
      </c>
    </row>
    <row r="108" spans="1:21" s="3" customFormat="1" ht="18" customHeight="1" x14ac:dyDescent="0.25">
      <c r="A108" s="43" t="s">
        <v>121</v>
      </c>
      <c r="B108" s="44" t="s">
        <v>122</v>
      </c>
      <c r="C108" s="45"/>
      <c r="D108" s="46"/>
      <c r="E108" s="92" t="s">
        <v>31</v>
      </c>
      <c r="F108" s="88">
        <v>3</v>
      </c>
      <c r="G108" s="49">
        <f>VLOOKUP(20055,[1]!qryExcelSlab[#Data],5,FALSE)</f>
        <v>0</v>
      </c>
      <c r="H108" s="89">
        <f>IF(G108=0,0,VLOOKUP(20055,[1]!qryExcelSlab[#Data],4,FALSE))</f>
        <v>0</v>
      </c>
      <c r="I108" s="49">
        <f>VLOOKUP(20060,[1]!qryExcelSlab[#Data],5,FALSE)</f>
        <v>2</v>
      </c>
      <c r="J108" s="51">
        <f>IF(I108=0,0,VLOOKUP(20060,[1]!qryExcelSlab[#Data],4,FALSE))</f>
        <v>37</v>
      </c>
      <c r="K108" s="52">
        <f>VLOOKUP(20059,[1]!qryExcelSlab[#Data],5,FALSE)</f>
        <v>12</v>
      </c>
      <c r="L108" s="90">
        <f>IF(K108=0,0,VLOOKUP(20059,[1]!qryExcelSlab[#Data],4,FALSE))</f>
        <v>47</v>
      </c>
      <c r="M108" s="49">
        <f>VLOOKUP(20058,[1]!qryExcelSlab[#Data],5,FALSE)</f>
        <v>0</v>
      </c>
      <c r="N108" s="91">
        <f>IF(M108=0,0,VLOOKUP(20058,[1]!qryExcelSlab[#Data],4,FALSE))</f>
        <v>0</v>
      </c>
      <c r="O108" s="49">
        <f>VLOOKUP(20057,[1]!qryExcelSlab[#Data],5,FALSE)</f>
        <v>0</v>
      </c>
      <c r="P108" s="90">
        <f>IF(O108=0,0,VLOOKUP(20057,[1]!qryExcelSlab[#Data],4,FALSE))</f>
        <v>0</v>
      </c>
      <c r="Q108" s="49">
        <f>VLOOKUP(20056,[1]!qryExcelSlab[#Data],5,FALSE)</f>
        <v>0</v>
      </c>
      <c r="R108" s="51">
        <f>IF(Q108=0,0,VLOOKUP(20056,[1]!qryExcelSlab[#Data],4,FALSE))</f>
        <v>0</v>
      </c>
      <c r="S108" s="228"/>
      <c r="T108" s="229" t="s">
        <v>24</v>
      </c>
    </row>
    <row r="109" spans="1:21" s="3" customFormat="1" ht="18" customHeight="1" x14ac:dyDescent="0.25">
      <c r="A109" s="28"/>
      <c r="B109" s="73"/>
      <c r="C109" s="74"/>
      <c r="D109" s="75"/>
      <c r="E109" s="76"/>
      <c r="F109" s="103"/>
      <c r="G109" s="78"/>
      <c r="H109" s="79"/>
      <c r="I109" s="78"/>
      <c r="J109" s="81"/>
      <c r="K109" s="95"/>
      <c r="L109" s="83"/>
      <c r="M109" s="78"/>
      <c r="N109" s="104"/>
      <c r="O109" s="78"/>
      <c r="P109" s="83"/>
      <c r="Q109" s="80"/>
      <c r="R109" s="81"/>
      <c r="S109" s="247"/>
      <c r="T109" s="231"/>
    </row>
    <row r="110" spans="1:21" s="3" customFormat="1" ht="18" customHeight="1" x14ac:dyDescent="0.25">
      <c r="A110" s="98" t="s">
        <v>123</v>
      </c>
      <c r="B110" s="44" t="s">
        <v>124</v>
      </c>
      <c r="C110" s="45"/>
      <c r="D110" s="46"/>
      <c r="E110" s="92" t="s">
        <v>95</v>
      </c>
      <c r="F110" s="48">
        <v>3</v>
      </c>
      <c r="G110" s="49"/>
      <c r="H110" s="50"/>
      <c r="I110" s="49">
        <f>VLOOKUP(19651,[1]!qryExcelSlab[#Data],5,FALSE)</f>
        <v>7</v>
      </c>
      <c r="J110" s="51">
        <f>IF(I110=0,0,VLOOKUP(19651,[1]!qryExcelSlab[#Data],4,FALSE))</f>
        <v>37</v>
      </c>
      <c r="K110" s="52">
        <f>VLOOKUP(18239,[1]!qryExcelSlab[#Data],5,FALSE)</f>
        <v>40</v>
      </c>
      <c r="L110" s="53">
        <f>IF(K110=0,0,VLOOKUP(18239,[1]!qryExcelSlab[#Data],4,FALSE))</f>
        <v>47</v>
      </c>
      <c r="M110" s="49">
        <f>VLOOKUP(18241,[1]!qryExcelSlab[#Data],5,FALSE)</f>
        <v>11</v>
      </c>
      <c r="N110" s="54">
        <f>IF(M110=0,0,VLOOKUP(18241,[1]!qryExcelSlab[#Data],4,FALSE))</f>
        <v>59</v>
      </c>
      <c r="O110" s="49"/>
      <c r="P110" s="55" t="s">
        <v>3</v>
      </c>
      <c r="Q110" s="56"/>
      <c r="R110" s="55" t="s">
        <v>3</v>
      </c>
      <c r="S110" s="228"/>
      <c r="T110" s="229" t="s">
        <v>24</v>
      </c>
    </row>
    <row r="111" spans="1:21" s="3" customFormat="1" ht="18" customHeight="1" x14ac:dyDescent="0.25">
      <c r="A111" s="98" t="s">
        <v>123</v>
      </c>
      <c r="B111" s="44" t="s">
        <v>124</v>
      </c>
      <c r="C111" s="45"/>
      <c r="D111" s="46"/>
      <c r="E111" s="92" t="s">
        <v>31</v>
      </c>
      <c r="F111" s="96">
        <v>1</v>
      </c>
      <c r="G111" s="49"/>
      <c r="H111" s="89"/>
      <c r="I111" s="49"/>
      <c r="J111" s="51" t="s">
        <v>3</v>
      </c>
      <c r="K111" s="52">
        <f>VLOOKUP(21805,[1]!qryExcelSlab[#Data],5,FALSE)</f>
        <v>21</v>
      </c>
      <c r="L111" s="53">
        <f>IF(K111=0,0,VLOOKUP(21805,[1]!qryExcelSlab[#Data],4,FALSE))</f>
        <v>34</v>
      </c>
      <c r="M111" s="49">
        <f>VLOOKUP(18240,[1]!qryExcelSlab[#Data],5,FALSE)</f>
        <v>20</v>
      </c>
      <c r="N111" s="54">
        <f>IF(M111=0,0,VLOOKUP(18240,[1]!qryExcelSlab[#Data],4,FALSE))</f>
        <v>49</v>
      </c>
      <c r="O111" s="49">
        <f>VLOOKUP(18198,[1]!qryExcelSlab[#Data],5,FALSE)</f>
        <v>0</v>
      </c>
      <c r="P111" s="55">
        <f>IF(O111=0,0,VLOOKUP(18198,[1]!qryExcelSlab[#Data],4,FALSE))</f>
        <v>0</v>
      </c>
      <c r="Q111" s="56"/>
      <c r="R111" s="55" t="s">
        <v>3</v>
      </c>
      <c r="S111" s="228"/>
      <c r="T111" s="229" t="s">
        <v>24</v>
      </c>
    </row>
    <row r="112" spans="1:21" s="3" customFormat="1" ht="18" customHeight="1" x14ac:dyDescent="0.25">
      <c r="A112" s="98" t="s">
        <v>123</v>
      </c>
      <c r="B112" s="44" t="s">
        <v>124</v>
      </c>
      <c r="C112" s="45"/>
      <c r="D112" s="46"/>
      <c r="E112" s="92" t="s">
        <v>30</v>
      </c>
      <c r="F112" s="96">
        <v>1</v>
      </c>
      <c r="G112" s="49">
        <f>VLOOKUP(23454,[1]!qryExcelSlab[#Data],5,FALSE)</f>
        <v>123</v>
      </c>
      <c r="H112" s="50">
        <f>IF(G112=0,0,VLOOKUP(23454,[1]!qryExcelSlab[#Data],4,FALSE))</f>
        <v>17.5</v>
      </c>
      <c r="I112" s="49">
        <f>VLOOKUP(21806,[1]!qryExcelSlab[#Data],5,FALSE)</f>
        <v>9</v>
      </c>
      <c r="J112" s="51">
        <f>IF(I112=0,0,VLOOKUP(21806,[1]!qryExcelSlab[#Data],4,FALSE))</f>
        <v>27</v>
      </c>
      <c r="K112" s="52">
        <f>VLOOKUP(21808,[1]!qryExcelSlab[#Data],5,FALSE)</f>
        <v>36</v>
      </c>
      <c r="L112" s="53">
        <f>IF(K112=0,0,VLOOKUP(21808,[1]!qryExcelSlab[#Data],4,FALSE))</f>
        <v>34</v>
      </c>
      <c r="M112" s="49">
        <f>VLOOKUP(21807,[1]!qryExcelSlab[#Data],5,FALSE)</f>
        <v>58</v>
      </c>
      <c r="N112" s="54">
        <f>IF(M112=0,0,VLOOKUP(21807,[1]!qryExcelSlab[#Data],4,FALSE))</f>
        <v>49</v>
      </c>
      <c r="O112" s="49">
        <f>VLOOKUP(22866,[1]!qryExcelSlab[#Data],5,FALSE)</f>
        <v>4</v>
      </c>
      <c r="P112" s="55">
        <f>IF(O112=0,0,VLOOKUP(22866,[1]!qryExcelSlab[#Data],4,FALSE))</f>
        <v>59</v>
      </c>
      <c r="Q112" s="56"/>
      <c r="R112" s="55" t="s">
        <v>3</v>
      </c>
      <c r="S112" s="238" t="s">
        <v>3</v>
      </c>
      <c r="T112" s="229" t="s">
        <v>24</v>
      </c>
    </row>
    <row r="113" spans="1:20" s="3" customFormat="1" ht="18" customHeight="1" x14ac:dyDescent="0.25">
      <c r="A113" s="28"/>
      <c r="B113" s="73"/>
      <c r="C113" s="74"/>
      <c r="D113" s="75"/>
      <c r="E113" s="76"/>
      <c r="F113" s="103"/>
      <c r="G113" s="78"/>
      <c r="H113" s="79"/>
      <c r="I113" s="78"/>
      <c r="J113" s="81"/>
      <c r="K113" s="95"/>
      <c r="L113" s="83"/>
      <c r="M113" s="78"/>
      <c r="N113" s="104"/>
      <c r="O113" s="78"/>
      <c r="P113" s="83"/>
      <c r="Q113" s="80"/>
      <c r="R113" s="81"/>
      <c r="S113" s="247"/>
      <c r="T113" s="231"/>
    </row>
    <row r="114" spans="1:20" s="3" customFormat="1" ht="18" customHeight="1" x14ac:dyDescent="0.25">
      <c r="A114" s="43" t="s">
        <v>125</v>
      </c>
      <c r="B114" s="44" t="s">
        <v>126</v>
      </c>
      <c r="C114" s="45"/>
      <c r="D114" s="46"/>
      <c r="E114" s="92" t="s">
        <v>30</v>
      </c>
      <c r="F114" s="48">
        <v>3</v>
      </c>
      <c r="G114" s="49">
        <f>VLOOKUP(29961,[1]!qryExcelSlab[#Data],5,FALSE)</f>
        <v>0</v>
      </c>
      <c r="H114" s="50">
        <f>IF(G114=0,0,VLOOKUP(29961,[1]!qryExcelSlab[#Data],4,FALSE))</f>
        <v>0</v>
      </c>
      <c r="I114" s="49">
        <f>VLOOKUP(18199,[1]!qryExcelSlab[#Data],5,FALSE)</f>
        <v>0</v>
      </c>
      <c r="J114" s="51">
        <f>IF(I114=0,0,VLOOKUP(18199,[1]!qryExcelSlab[#Data],4,FALSE))</f>
        <v>0</v>
      </c>
      <c r="K114" s="52">
        <f>VLOOKUP(18243,[1]!qryExcelSlab[#Data],5,FALSE)</f>
        <v>21</v>
      </c>
      <c r="L114" s="53">
        <f>IF(K114=0,0,VLOOKUP(18243,[1]!qryExcelSlab[#Data],4,FALSE))</f>
        <v>47</v>
      </c>
      <c r="M114" s="49">
        <f>VLOOKUP(18244,[1]!qryExcelSlab[#Data],5,FALSE)</f>
        <v>7</v>
      </c>
      <c r="N114" s="54">
        <f>IF(M114=0,0,VLOOKUP(18244,[1]!qryExcelSlab[#Data],4,FALSE))</f>
        <v>59</v>
      </c>
      <c r="O114" s="49"/>
      <c r="P114" s="55" t="s">
        <v>3</v>
      </c>
      <c r="Q114" s="56"/>
      <c r="R114" s="55" t="s">
        <v>3</v>
      </c>
      <c r="S114" s="228"/>
      <c r="T114" s="229" t="s">
        <v>24</v>
      </c>
    </row>
    <row r="115" spans="1:20" s="3" customFormat="1" ht="18" customHeight="1" x14ac:dyDescent="0.25">
      <c r="A115" s="259"/>
      <c r="B115" s="44" t="s">
        <v>126</v>
      </c>
      <c r="C115" s="45"/>
      <c r="D115" s="46"/>
      <c r="E115" s="92" t="s">
        <v>31</v>
      </c>
      <c r="F115" s="48"/>
      <c r="G115" s="49"/>
      <c r="H115" s="50"/>
      <c r="I115" s="49"/>
      <c r="J115" s="51"/>
      <c r="K115" s="52"/>
      <c r="L115" s="53"/>
      <c r="M115" s="49" t="s">
        <v>3</v>
      </c>
      <c r="N115" s="256" t="s">
        <v>3</v>
      </c>
      <c r="O115" s="49"/>
      <c r="P115" s="53"/>
      <c r="Q115" s="56"/>
      <c r="R115" s="55"/>
      <c r="S115" s="228"/>
      <c r="T115" s="229"/>
    </row>
    <row r="116" spans="1:20" s="3" customFormat="1" ht="18" customHeight="1" x14ac:dyDescent="0.25">
      <c r="A116" s="28"/>
      <c r="B116" s="73"/>
      <c r="C116" s="74"/>
      <c r="D116" s="75"/>
      <c r="E116" s="76"/>
      <c r="F116" s="103"/>
      <c r="G116" s="78"/>
      <c r="H116" s="79"/>
      <c r="I116" s="80"/>
      <c r="J116" s="81"/>
      <c r="K116" s="95"/>
      <c r="L116" s="83"/>
      <c r="M116" s="78"/>
      <c r="N116" s="104"/>
      <c r="O116" s="78"/>
      <c r="P116" s="83"/>
      <c r="Q116" s="80"/>
      <c r="R116" s="81"/>
      <c r="S116" s="247"/>
      <c r="T116" s="231"/>
    </row>
    <row r="117" spans="1:20" s="3" customFormat="1" ht="18" customHeight="1" x14ac:dyDescent="0.25">
      <c r="A117" s="43" t="s">
        <v>127</v>
      </c>
      <c r="B117" s="44" t="s">
        <v>128</v>
      </c>
      <c r="C117" s="45"/>
      <c r="D117" s="46"/>
      <c r="E117" s="92" t="s">
        <v>31</v>
      </c>
      <c r="F117" s="96">
        <v>1</v>
      </c>
      <c r="G117" s="49">
        <f>VLOOKUP(23400,[1]!qryExcelSlab[#Data],5,FALSE)</f>
        <v>146</v>
      </c>
      <c r="H117" s="50">
        <f>IF(G117=0,0,VLOOKUP(23400,[1]!qryExcelSlab[#Data],4,FALSE))</f>
        <v>17.5</v>
      </c>
      <c r="I117" s="49">
        <f>VLOOKUP(30009,[1]!qryExcelSlab[#Data],5,FALSE)</f>
        <v>6</v>
      </c>
      <c r="J117" s="51">
        <f>IF(I117=0,0,VLOOKUP(30009,[1]!qryExcelSlab[#Data],4,FALSE))</f>
        <v>27</v>
      </c>
      <c r="K117" s="52">
        <f>VLOOKUP(19652,[1]!qryExcelSlab[#Data],5,FALSE)</f>
        <v>51</v>
      </c>
      <c r="L117" s="53">
        <f>IF(K117=0,0,VLOOKUP(19652,[1]!qryExcelSlab[#Data],4,FALSE))</f>
        <v>34</v>
      </c>
      <c r="M117" s="49">
        <f>VLOOKUP(18247,[1]!qryExcelSlab[#Data],5,FALSE)</f>
        <v>64</v>
      </c>
      <c r="N117" s="54">
        <f>IF(M117=0,0,VLOOKUP(18247,[1]!qryExcelSlab[#Data],4,FALSE))</f>
        <v>49</v>
      </c>
      <c r="O117" s="49">
        <f>VLOOKUP(18249,[1]!qryExcelSlab[#Data],5,FALSE)</f>
        <v>43</v>
      </c>
      <c r="P117" s="55">
        <f>IF(O117=0,0,VLOOKUP(18249,[1]!qryExcelSlab[#Data],4,FALSE))</f>
        <v>59</v>
      </c>
      <c r="Q117" s="56"/>
      <c r="R117" s="55" t="s">
        <v>3</v>
      </c>
      <c r="S117" s="238">
        <f>VLOOKUP(20888,[1]!qryExcelSlab[#Data],5,FALSE)</f>
        <v>0</v>
      </c>
      <c r="T117" s="229" t="s">
        <v>24</v>
      </c>
    </row>
    <row r="118" spans="1:20" s="3" customFormat="1" ht="18" customHeight="1" x14ac:dyDescent="0.25">
      <c r="A118" s="28"/>
      <c r="B118" s="73"/>
      <c r="C118" s="74"/>
      <c r="D118" s="75"/>
      <c r="E118" s="76"/>
      <c r="F118" s="103"/>
      <c r="G118" s="78"/>
      <c r="H118" s="79"/>
      <c r="I118" s="80"/>
      <c r="J118" s="81"/>
      <c r="K118" s="95"/>
      <c r="L118" s="83"/>
      <c r="M118" s="78"/>
      <c r="N118" s="104"/>
      <c r="O118" s="78"/>
      <c r="P118" s="83"/>
      <c r="Q118" s="80"/>
      <c r="R118" s="81"/>
      <c r="S118" s="247"/>
      <c r="T118" s="231"/>
    </row>
    <row r="119" spans="1:20" s="3" customFormat="1" ht="18" customHeight="1" x14ac:dyDescent="0.25">
      <c r="A119" s="43" t="s">
        <v>129</v>
      </c>
      <c r="B119" s="44" t="s">
        <v>130</v>
      </c>
      <c r="C119" s="45"/>
      <c r="D119" s="46"/>
      <c r="E119" s="92" t="s">
        <v>31</v>
      </c>
      <c r="F119" s="96">
        <v>1</v>
      </c>
      <c r="G119" s="49">
        <f>VLOOKUP(23453,[1]!qryExcelSlab[#Data],5,FALSE)</f>
        <v>127</v>
      </c>
      <c r="H119" s="50">
        <f>IF(G119=0,0,VLOOKUP(23453,[1]!qryExcelSlab[#Data],4,FALSE))</f>
        <v>17.5</v>
      </c>
      <c r="I119" s="49">
        <f>VLOOKUP(18201,[1]!qryExcelSlab[#Data],5,FALSE)</f>
        <v>20</v>
      </c>
      <c r="J119" s="51">
        <f>IF(I119=0,0,VLOOKUP(18201,[1]!qryExcelSlab[#Data],4,FALSE))</f>
        <v>27</v>
      </c>
      <c r="K119" s="52">
        <f>VLOOKUP(19660,[1]!qryExcelSlab[#Data],5,FALSE)</f>
        <v>30</v>
      </c>
      <c r="L119" s="53">
        <f>IF(K119=0,0,VLOOKUP(19660,[1]!qryExcelSlab[#Data],4,FALSE))</f>
        <v>34</v>
      </c>
      <c r="M119" s="49">
        <f>VLOOKUP(18250,[1]!qryExcelSlab[#Data],5,FALSE)</f>
        <v>61</v>
      </c>
      <c r="N119" s="54">
        <f>IF(M119=0,0,VLOOKUP(18250,[1]!qryExcelSlab[#Data],4,FALSE))</f>
        <v>49</v>
      </c>
      <c r="O119" s="49">
        <f>VLOOKUP(18252,[1]!qryExcelSlab[#Data],5,FALSE)</f>
        <v>24</v>
      </c>
      <c r="P119" s="55">
        <f>IF(O119=0,0,VLOOKUP(18252,[1]!qryExcelSlab[#Data],4,FALSE))</f>
        <v>59</v>
      </c>
      <c r="Q119" s="49">
        <f>VLOOKUP(18253,[1]!qryExcelSlab[#Data],5,FALSE)</f>
        <v>0</v>
      </c>
      <c r="R119" s="55">
        <f>IF(Q119=0,0,VLOOKUP(18253,[1]!qryExcelSlab[#Data],4,FALSE))</f>
        <v>0</v>
      </c>
      <c r="S119" s="238">
        <f>VLOOKUP(18254,[1]!qryExcelSlab[#Data],5,FALSE)</f>
        <v>0</v>
      </c>
      <c r="T119" s="229" t="s">
        <v>24</v>
      </c>
    </row>
    <row r="120" spans="1:20" s="3" customFormat="1" ht="18" customHeight="1" x14ac:dyDescent="0.25">
      <c r="A120" s="28"/>
      <c r="B120" s="73"/>
      <c r="C120" s="74"/>
      <c r="D120" s="75"/>
      <c r="E120" s="76"/>
      <c r="F120" s="103"/>
      <c r="G120" s="95"/>
      <c r="H120" s="79"/>
      <c r="I120" s="80"/>
      <c r="J120" s="83"/>
      <c r="K120" s="78"/>
      <c r="L120" s="81"/>
      <c r="M120" s="82"/>
      <c r="N120" s="104"/>
      <c r="O120" s="80"/>
      <c r="P120" s="81"/>
      <c r="Q120" s="82"/>
      <c r="R120" s="83"/>
      <c r="S120" s="247"/>
      <c r="T120" s="231"/>
    </row>
    <row r="121" spans="1:20" s="3" customFormat="1" ht="18" customHeight="1" x14ac:dyDescent="0.25">
      <c r="A121" s="43" t="s">
        <v>131</v>
      </c>
      <c r="B121" s="44" t="s">
        <v>132</v>
      </c>
      <c r="C121" s="45"/>
      <c r="D121" s="46" t="s">
        <v>94</v>
      </c>
      <c r="E121" s="92" t="s">
        <v>95</v>
      </c>
      <c r="F121" s="48">
        <v>3</v>
      </c>
      <c r="G121" s="49"/>
      <c r="H121" s="50"/>
      <c r="I121" s="49">
        <f>VLOOKUP(21811,[1]!qryExcelSlab[#Data],5,FALSE)</f>
        <v>2</v>
      </c>
      <c r="J121" s="51">
        <f>IF(I121=0,0,VLOOKUP(21811,[1]!qryExcelSlab[#Data],4,FALSE))</f>
        <v>37</v>
      </c>
      <c r="K121" s="49">
        <f>VLOOKUP(18259,[1]!qryExcelSlab[#Data],5,FALSE)</f>
        <v>11</v>
      </c>
      <c r="L121" s="53">
        <f>IF(K121=0,0,VLOOKUP(18259,[1]!qryExcelSlab[#Data],4,FALSE))</f>
        <v>47</v>
      </c>
      <c r="M121" s="49">
        <f>VLOOKUP(18203,[1]!qryExcelSlab[#Data],5,FALSE)</f>
        <v>0</v>
      </c>
      <c r="N121" s="54">
        <f>IF(M121=0,0,VLOOKUP(18203,[1]!qryExcelSlab[#Data],4,FALSE))</f>
        <v>0</v>
      </c>
      <c r="O121" s="260"/>
      <c r="P121" s="55" t="s">
        <v>3</v>
      </c>
      <c r="Q121" s="260"/>
      <c r="R121" s="55" t="s">
        <v>3</v>
      </c>
      <c r="S121" s="228"/>
      <c r="T121" s="229" t="s">
        <v>24</v>
      </c>
    </row>
    <row r="122" spans="1:20" s="3" customFormat="1" ht="18" customHeight="1" x14ac:dyDescent="0.25">
      <c r="A122" s="43" t="s">
        <v>131</v>
      </c>
      <c r="B122" s="44" t="s">
        <v>132</v>
      </c>
      <c r="C122" s="45"/>
      <c r="D122" s="46"/>
      <c r="E122" s="92" t="s">
        <v>31</v>
      </c>
      <c r="F122" s="96">
        <v>1</v>
      </c>
      <c r="G122" s="177"/>
      <c r="H122" s="261"/>
      <c r="I122" s="177">
        <f>VLOOKUP(18258,[1]!qryExcelSlab[#Data],5,FALSE)</f>
        <v>0</v>
      </c>
      <c r="J122" s="51">
        <f>IF(I122=0,0,VLOOKUP(18258,[1]!qryExcelSlab[#Data],4,FALSE))</f>
        <v>0</v>
      </c>
      <c r="K122" s="179">
        <f>VLOOKUP(18202,[1]!qryExcelSlab[#Data],5,FALSE)</f>
        <v>22</v>
      </c>
      <c r="L122" s="53">
        <f>IF(K122=0,0,VLOOKUP(18202,[1]!qryExcelSlab[#Data],4,FALSE))</f>
        <v>34</v>
      </c>
      <c r="M122" s="177">
        <f>VLOOKUP(18256,[1]!qryExcelSlab[#Data],5,FALSE)</f>
        <v>9</v>
      </c>
      <c r="N122" s="54">
        <f>IF(M122=0,0,VLOOKUP(18256,[1]!qryExcelSlab[#Data],4,FALSE))</f>
        <v>49</v>
      </c>
      <c r="O122" s="177">
        <f>VLOOKUP(18255,[1]!qryExcelSlab[#Data],5,FALSE)</f>
        <v>2</v>
      </c>
      <c r="P122" s="55">
        <f>IF(O122=0,0,VLOOKUP(18255,[1]!qryExcelSlab[#Data],4,FALSE))</f>
        <v>59</v>
      </c>
      <c r="Q122" s="177">
        <f>VLOOKUP(18257,[1]!qryExcelSlab[#Data],5,FALSE)</f>
        <v>0</v>
      </c>
      <c r="R122" s="55">
        <f>IF(Q122=0,0,VLOOKUP(18257,[1]!qryExcelSlab[#Data],4,FALSE))</f>
        <v>0</v>
      </c>
      <c r="S122" s="228"/>
      <c r="T122" s="229" t="s">
        <v>24</v>
      </c>
    </row>
    <row r="123" spans="1:20" s="3" customFormat="1" ht="18" customHeight="1" x14ac:dyDescent="0.25">
      <c r="A123" s="43" t="s">
        <v>131</v>
      </c>
      <c r="B123" s="44" t="s">
        <v>132</v>
      </c>
      <c r="C123" s="45"/>
      <c r="D123" s="46"/>
      <c r="E123" s="92" t="s">
        <v>30</v>
      </c>
      <c r="F123" s="96">
        <v>1</v>
      </c>
      <c r="G123" s="177">
        <f>VLOOKUP(23926,[1]!qryExcelSlab[#Data],5,FALSE)</f>
        <v>133</v>
      </c>
      <c r="H123" s="50">
        <f>IF(G123=0,0,VLOOKUP(23926,[1]!qryExcelSlab[#Data],4,FALSE))</f>
        <v>17.5</v>
      </c>
      <c r="I123" s="177">
        <f>VLOOKUP(21817,[1]!qryExcelSlab[#Data],5,FALSE)</f>
        <v>5</v>
      </c>
      <c r="J123" s="51">
        <f>IF(I123=0,0,VLOOKUP(21817,[1]!qryExcelSlab[#Data],4,FALSE))</f>
        <v>27</v>
      </c>
      <c r="K123" s="179">
        <f>VLOOKUP(21816,[1]!qryExcelSlab[#Data],5,FALSE)</f>
        <v>16</v>
      </c>
      <c r="L123" s="53">
        <f>IF(K123=0,0,VLOOKUP(21816,[1]!qryExcelSlab[#Data],4,FALSE))</f>
        <v>34</v>
      </c>
      <c r="M123" s="175">
        <f>VLOOKUP(21815,[1]!qryExcelSlab[#Data],5,FALSE)</f>
        <v>29</v>
      </c>
      <c r="N123" s="207">
        <f>IF(M123=0,0,VLOOKUP(21815,[1]!qryExcelSlab[#Data],4,FALSE))</f>
        <v>49</v>
      </c>
      <c r="O123" s="175">
        <f>VLOOKUP(21814,[1]!qryExcelSlab[#Data],5,FALSE)</f>
        <v>5</v>
      </c>
      <c r="P123" s="55">
        <f>IF(O123=0,0,VLOOKUP(21814,[1]!qryExcelSlab[#Data],4,FALSE))</f>
        <v>59</v>
      </c>
      <c r="Q123" s="56"/>
      <c r="R123" s="55" t="s">
        <v>3</v>
      </c>
      <c r="S123" s="228"/>
      <c r="T123" s="229" t="s">
        <v>24</v>
      </c>
    </row>
    <row r="124" spans="1:20" s="3" customFormat="1" ht="18" customHeight="1" x14ac:dyDescent="0.25">
      <c r="A124" s="28"/>
      <c r="B124" s="73"/>
      <c r="C124" s="74"/>
      <c r="D124" s="75"/>
      <c r="E124" s="76"/>
      <c r="F124" s="103"/>
      <c r="G124" s="78"/>
      <c r="H124" s="79"/>
      <c r="I124" s="80"/>
      <c r="J124" s="81"/>
      <c r="K124" s="95"/>
      <c r="L124" s="83"/>
      <c r="M124" s="262"/>
      <c r="N124" s="263"/>
      <c r="O124" s="262"/>
      <c r="P124" s="264" t="s">
        <v>3</v>
      </c>
      <c r="Q124" s="80"/>
      <c r="R124" s="81"/>
      <c r="S124" s="247"/>
      <c r="T124" s="231"/>
    </row>
    <row r="125" spans="1:20" s="3" customFormat="1" ht="18" customHeight="1" x14ac:dyDescent="0.25">
      <c r="A125" s="265" t="s">
        <v>133</v>
      </c>
      <c r="B125" s="44" t="s">
        <v>134</v>
      </c>
      <c r="C125" s="45"/>
      <c r="D125" s="46"/>
      <c r="E125" s="92" t="s">
        <v>30</v>
      </c>
      <c r="F125" s="88">
        <v>7</v>
      </c>
      <c r="G125" s="49"/>
      <c r="H125" s="89" t="s">
        <v>3</v>
      </c>
      <c r="I125" s="49">
        <f>VLOOKUP(30385,[1]!qryExcelSlab[#Data],5,FALSE)</f>
        <v>9</v>
      </c>
      <c r="J125" s="51">
        <f>IF(I125=0,0,VLOOKUP(30385,[1]!qryExcelSlab[#Data],4,FALSE))</f>
        <v>63</v>
      </c>
      <c r="K125" s="52"/>
      <c r="L125" s="90" t="s">
        <v>3</v>
      </c>
      <c r="M125" s="177"/>
      <c r="N125" s="181" t="s">
        <v>3</v>
      </c>
      <c r="O125" s="177"/>
      <c r="P125" s="90" t="s">
        <v>3</v>
      </c>
      <c r="Q125" s="49"/>
      <c r="R125" s="51" t="s">
        <v>3</v>
      </c>
      <c r="S125" s="238"/>
      <c r="T125" s="229" t="s">
        <v>24</v>
      </c>
    </row>
    <row r="126" spans="1:20" s="3" customFormat="1" ht="18" customHeight="1" x14ac:dyDescent="0.25">
      <c r="A126" s="28"/>
      <c r="B126" s="73"/>
      <c r="C126" s="74"/>
      <c r="D126" s="75"/>
      <c r="E126" s="76"/>
      <c r="F126" s="103"/>
      <c r="G126" s="78"/>
      <c r="H126" s="79"/>
      <c r="I126" s="80"/>
      <c r="J126" s="81"/>
      <c r="K126" s="95"/>
      <c r="L126" s="83"/>
      <c r="M126" s="78"/>
      <c r="N126" s="104"/>
      <c r="O126" s="78"/>
      <c r="P126" s="83"/>
      <c r="Q126" s="80"/>
      <c r="R126" s="81"/>
      <c r="S126" s="247"/>
      <c r="T126" s="231"/>
    </row>
    <row r="127" spans="1:20" s="3" customFormat="1" ht="18" customHeight="1" x14ac:dyDescent="0.25">
      <c r="A127" s="266" t="s">
        <v>133</v>
      </c>
      <c r="B127" s="44" t="s">
        <v>135</v>
      </c>
      <c r="C127" s="45"/>
      <c r="D127" s="46" t="s">
        <v>136</v>
      </c>
      <c r="E127" s="92" t="s">
        <v>30</v>
      </c>
      <c r="F127" s="88">
        <v>7</v>
      </c>
      <c r="G127" s="49">
        <f>VLOOKUP(30387,[1]!qryExcelSlab[#Data],5,FALSE)</f>
        <v>5</v>
      </c>
      <c r="H127" s="89">
        <f>IF(G127=0,0,VLOOKUP(30387,[1]!qryExcelSlab[#Data],4,FALSE))</f>
        <v>17.5</v>
      </c>
      <c r="I127" s="49">
        <f>VLOOKUP(30386,[1]!qryExcelSlab[#Data],5,FALSE)</f>
        <v>7</v>
      </c>
      <c r="J127" s="51">
        <f>IF(I127=0,0,VLOOKUP(30386,[1]!qryExcelSlab[#Data],4,FALSE))</f>
        <v>63</v>
      </c>
      <c r="K127" s="52"/>
      <c r="L127" s="90" t="s">
        <v>3</v>
      </c>
      <c r="M127" s="177"/>
      <c r="N127" s="181" t="s">
        <v>3</v>
      </c>
      <c r="O127" s="177"/>
      <c r="P127" s="90" t="s">
        <v>3</v>
      </c>
      <c r="Q127" s="49"/>
      <c r="R127" s="51" t="s">
        <v>3</v>
      </c>
      <c r="S127" s="238"/>
      <c r="T127" s="229" t="s">
        <v>24</v>
      </c>
    </row>
    <row r="128" spans="1:20" s="3" customFormat="1" ht="18" customHeight="1" x14ac:dyDescent="0.25">
      <c r="A128" s="28"/>
      <c r="B128" s="73"/>
      <c r="C128" s="74"/>
      <c r="D128" s="75"/>
      <c r="E128" s="76"/>
      <c r="F128" s="103"/>
      <c r="G128" s="78"/>
      <c r="H128" s="79"/>
      <c r="I128" s="80"/>
      <c r="J128" s="81"/>
      <c r="K128" s="95"/>
      <c r="L128" s="83"/>
      <c r="M128" s="78"/>
      <c r="N128" s="104"/>
      <c r="O128" s="78"/>
      <c r="P128" s="83"/>
      <c r="Q128" s="80"/>
      <c r="R128" s="81"/>
      <c r="S128" s="247"/>
      <c r="T128" s="231"/>
    </row>
    <row r="129" spans="1:21" s="3" customFormat="1" ht="18" customHeight="1" x14ac:dyDescent="0.25">
      <c r="A129" s="98" t="s">
        <v>137</v>
      </c>
      <c r="B129" s="44" t="s">
        <v>138</v>
      </c>
      <c r="C129" s="45"/>
      <c r="D129" s="46" t="s">
        <v>139</v>
      </c>
      <c r="E129" s="92" t="s">
        <v>30</v>
      </c>
      <c r="F129" s="88">
        <v>7</v>
      </c>
      <c r="G129" s="49">
        <f>VLOOKUP(30390,[1]!qryExcelSlab[#Data],5,FALSE)</f>
        <v>2</v>
      </c>
      <c r="H129" s="89">
        <f>VLOOKUP(30390,[1]!qryExcelSlab[#Data],4,FALSE)</f>
        <v>0</v>
      </c>
      <c r="I129" s="49">
        <f>VLOOKUP(30388,[1]!qryExcelSlab[#Data],5,FALSE)</f>
        <v>16</v>
      </c>
      <c r="J129" s="51">
        <f>IF(I129=0,0,VLOOKUP(30388,[1]!qryExcelSlab[#Data],4,FALSE))</f>
        <v>63</v>
      </c>
      <c r="K129" s="52">
        <f>VLOOKUP(30389,[1]!qryExcelSlab[#Data],5,FALSE)</f>
        <v>3</v>
      </c>
      <c r="L129" s="90">
        <f>IF(K129=0,0,VLOOKUP(30389,[1]!qryExcelSlab[#Data],4,FALSE))</f>
        <v>73</v>
      </c>
      <c r="M129" s="177"/>
      <c r="N129" s="181" t="s">
        <v>3</v>
      </c>
      <c r="O129" s="177"/>
      <c r="P129" s="90" t="s">
        <v>3</v>
      </c>
      <c r="Q129" s="49"/>
      <c r="R129" s="51" t="s">
        <v>3</v>
      </c>
      <c r="S129" s="238"/>
      <c r="T129" s="229" t="s">
        <v>24</v>
      </c>
    </row>
    <row r="130" spans="1:21" s="3" customFormat="1" ht="18" customHeight="1" x14ac:dyDescent="0.25">
      <c r="A130" s="28"/>
      <c r="B130" s="73"/>
      <c r="C130" s="74"/>
      <c r="D130" s="75"/>
      <c r="E130" s="76"/>
      <c r="F130" s="103"/>
      <c r="G130" s="78"/>
      <c r="H130" s="79"/>
      <c r="I130" s="80"/>
      <c r="J130" s="81"/>
      <c r="K130" s="95"/>
      <c r="L130" s="83"/>
      <c r="M130" s="78"/>
      <c r="N130" s="104"/>
      <c r="O130" s="78"/>
      <c r="P130" s="83"/>
      <c r="Q130" s="80"/>
      <c r="R130" s="81"/>
      <c r="S130" s="247"/>
      <c r="T130" s="231"/>
    </row>
    <row r="131" spans="1:21" s="3" customFormat="1" ht="18" customHeight="1" x14ac:dyDescent="0.25">
      <c r="A131" s="267" t="s">
        <v>133</v>
      </c>
      <c r="B131" s="268" t="s">
        <v>140</v>
      </c>
      <c r="C131" s="45"/>
      <c r="D131" s="46" t="s">
        <v>141</v>
      </c>
      <c r="E131" s="92" t="s">
        <v>30</v>
      </c>
      <c r="F131" s="88">
        <v>7</v>
      </c>
      <c r="G131" s="49"/>
      <c r="H131" s="89" t="s">
        <v>3</v>
      </c>
      <c r="I131" s="49"/>
      <c r="J131" s="51" t="s">
        <v>3</v>
      </c>
      <c r="K131" s="52"/>
      <c r="L131" s="90" t="s">
        <v>3</v>
      </c>
      <c r="M131" s="177"/>
      <c r="N131" s="181" t="s">
        <v>3</v>
      </c>
      <c r="O131" s="177"/>
      <c r="P131" s="90" t="s">
        <v>3</v>
      </c>
      <c r="Q131" s="49"/>
      <c r="R131" s="51" t="s">
        <v>3</v>
      </c>
      <c r="S131" s="238"/>
      <c r="T131" s="229" t="s">
        <v>24</v>
      </c>
    </row>
    <row r="132" spans="1:21" s="3" customFormat="1" ht="18" customHeight="1" x14ac:dyDescent="0.25">
      <c r="A132" s="102"/>
      <c r="B132" s="73"/>
      <c r="C132" s="74"/>
      <c r="D132" s="75"/>
      <c r="E132" s="76"/>
      <c r="F132" s="103"/>
      <c r="G132" s="78"/>
      <c r="H132" s="79"/>
      <c r="I132" s="80"/>
      <c r="J132" s="81"/>
      <c r="K132" s="95"/>
      <c r="L132" s="83"/>
      <c r="M132" s="262"/>
      <c r="N132" s="263"/>
      <c r="O132" s="262"/>
      <c r="P132" s="264"/>
      <c r="Q132" s="80"/>
      <c r="R132" s="81"/>
      <c r="S132" s="247"/>
      <c r="T132" s="231"/>
    </row>
    <row r="133" spans="1:21" s="3" customFormat="1" ht="18" customHeight="1" thickBot="1" x14ac:dyDescent="0.3">
      <c r="A133" s="267" t="s">
        <v>133</v>
      </c>
      <c r="B133" s="44" t="s">
        <v>142</v>
      </c>
      <c r="C133" s="45"/>
      <c r="D133" s="46" t="s">
        <v>143</v>
      </c>
      <c r="E133" s="92" t="s">
        <v>30</v>
      </c>
      <c r="F133" s="211">
        <v>7</v>
      </c>
      <c r="G133" s="212">
        <f>VLOOKUP(30392,[1]!qryExcelSlab[#Data],5,FALSE)</f>
        <v>2</v>
      </c>
      <c r="H133" s="269">
        <f>IF(G133=0,0,VLOOKUP(30392,[1]!qryExcelSlab[#Data],4,FALSE))</f>
        <v>39</v>
      </c>
      <c r="I133" s="212">
        <f>VLOOKUP(30391,[1]!qryExcelSlab[#Data],5,FALSE)</f>
        <v>0</v>
      </c>
      <c r="J133" s="214">
        <f>IF(I133=0,0,3)</f>
        <v>0</v>
      </c>
      <c r="K133" s="270"/>
      <c r="L133" s="271" t="s">
        <v>3</v>
      </c>
      <c r="M133" s="212"/>
      <c r="N133" s="272" t="s">
        <v>3</v>
      </c>
      <c r="O133" s="212"/>
      <c r="P133" s="271" t="s">
        <v>3</v>
      </c>
      <c r="Q133" s="212"/>
      <c r="R133" s="214" t="s">
        <v>3</v>
      </c>
      <c r="S133" s="273"/>
      <c r="T133" s="274" t="s">
        <v>24</v>
      </c>
    </row>
    <row r="134" spans="1:21" s="3" customFormat="1" ht="18" customHeight="1" thickTop="1" thickBot="1" x14ac:dyDescent="0.3">
      <c r="A134" s="28"/>
      <c r="B134" s="73"/>
      <c r="C134" s="74"/>
      <c r="D134" s="75"/>
      <c r="E134" s="76"/>
      <c r="F134" s="220" t="s">
        <v>83</v>
      </c>
      <c r="G134" s="275" t="s">
        <v>84</v>
      </c>
      <c r="H134" s="276"/>
      <c r="I134" s="23" t="s">
        <v>6</v>
      </c>
      <c r="J134" s="24"/>
      <c r="K134" s="25" t="s">
        <v>7</v>
      </c>
      <c r="L134" s="26"/>
      <c r="M134" s="27" t="s">
        <v>8</v>
      </c>
      <c r="N134" s="27"/>
      <c r="O134" s="27" t="s">
        <v>9</v>
      </c>
      <c r="P134" s="27"/>
      <c r="Q134" s="27" t="s">
        <v>10</v>
      </c>
      <c r="R134" s="27"/>
      <c r="S134" s="27" t="s">
        <v>11</v>
      </c>
      <c r="T134" s="27"/>
      <c r="U134" s="3" t="s">
        <v>3</v>
      </c>
    </row>
    <row r="135" spans="1:21" s="3" customFormat="1" ht="18" customHeight="1" thickTop="1" thickBot="1" x14ac:dyDescent="0.3">
      <c r="A135" s="28"/>
      <c r="B135" s="73"/>
      <c r="C135" s="74"/>
      <c r="D135" s="75"/>
      <c r="E135" s="76"/>
      <c r="F135" s="277"/>
      <c r="G135" s="278"/>
      <c r="H135" s="279"/>
      <c r="I135" s="277"/>
      <c r="J135" s="280"/>
      <c r="K135" s="278"/>
      <c r="L135" s="280"/>
      <c r="M135" s="278"/>
      <c r="N135" s="281"/>
      <c r="O135" s="278"/>
      <c r="P135" s="280"/>
      <c r="Q135" s="277"/>
      <c r="R135" s="280"/>
      <c r="S135" s="277"/>
      <c r="T135" s="282"/>
    </row>
    <row r="136" spans="1:21" s="3" customFormat="1" ht="48.75" thickTop="1" thickBot="1" x14ac:dyDescent="0.3">
      <c r="A136" s="217" t="s">
        <v>144</v>
      </c>
      <c r="B136" s="73"/>
      <c r="C136" s="17"/>
      <c r="D136" s="18"/>
      <c r="E136" s="19"/>
      <c r="F136" s="220" t="s">
        <v>83</v>
      </c>
      <c r="G136" s="21" t="s">
        <v>5</v>
      </c>
      <c r="H136" s="22"/>
      <c r="I136" s="275" t="s">
        <v>6</v>
      </c>
      <c r="J136" s="283"/>
      <c r="K136" s="284" t="s">
        <v>7</v>
      </c>
      <c r="L136" s="25"/>
      <c r="M136" s="275" t="s">
        <v>8</v>
      </c>
      <c r="N136" s="283"/>
      <c r="O136" s="275" t="s">
        <v>9</v>
      </c>
      <c r="P136" s="283"/>
      <c r="Q136" s="275" t="s">
        <v>10</v>
      </c>
      <c r="R136" s="283"/>
      <c r="S136" s="27" t="s">
        <v>11</v>
      </c>
      <c r="T136" s="27"/>
    </row>
    <row r="137" spans="1:21" s="3" customFormat="1" ht="18" customHeight="1" thickTop="1" x14ac:dyDescent="0.25">
      <c r="A137" s="28" t="s">
        <v>12</v>
      </c>
      <c r="B137" s="76" t="s">
        <v>13</v>
      </c>
      <c r="C137" s="148"/>
      <c r="D137" s="149" t="s">
        <v>86</v>
      </c>
      <c r="E137" s="76" t="s">
        <v>16</v>
      </c>
      <c r="F137" s="221" t="s">
        <v>17</v>
      </c>
      <c r="G137" s="222" t="s">
        <v>18</v>
      </c>
      <c r="H137" s="285" t="s">
        <v>19</v>
      </c>
      <c r="I137" s="222" t="s">
        <v>18</v>
      </c>
      <c r="J137" s="223" t="s">
        <v>19</v>
      </c>
      <c r="K137" s="224" t="s">
        <v>18</v>
      </c>
      <c r="L137" s="225" t="s">
        <v>19</v>
      </c>
      <c r="M137" s="151" t="s">
        <v>18</v>
      </c>
      <c r="N137" s="226" t="s">
        <v>19</v>
      </c>
      <c r="O137" s="153" t="s">
        <v>18</v>
      </c>
      <c r="P137" s="225" t="s">
        <v>19</v>
      </c>
      <c r="Q137" s="153" t="s">
        <v>18</v>
      </c>
      <c r="R137" s="154" t="s">
        <v>19</v>
      </c>
      <c r="S137" s="153" t="s">
        <v>18</v>
      </c>
      <c r="T137" s="156" t="s">
        <v>19</v>
      </c>
    </row>
    <row r="138" spans="1:21" s="3" customFormat="1" ht="18" customHeight="1" x14ac:dyDescent="0.25">
      <c r="A138" s="43" t="s">
        <v>145</v>
      </c>
      <c r="B138" s="44" t="s">
        <v>146</v>
      </c>
      <c r="C138" s="45"/>
      <c r="D138" s="46"/>
      <c r="E138" s="92" t="s">
        <v>103</v>
      </c>
      <c r="F138" s="195">
        <v>3</v>
      </c>
      <c r="G138" s="56"/>
      <c r="H138" s="50"/>
      <c r="I138" s="56"/>
      <c r="J138" s="51"/>
      <c r="K138" s="52">
        <f>VLOOKUP(18692,[1]!qryExcelSlab[#Data],5,FALSE)</f>
        <v>0</v>
      </c>
      <c r="L138" s="53">
        <f>IF(K138=0,0,VLOOKUP(18692,[1]!qryExcelSlab[#Data],4,FALSE))</f>
        <v>0</v>
      </c>
      <c r="M138" s="49">
        <f>VLOOKUP(18696,[1]!qryExcelSlab[#Data],5,FALSE)</f>
        <v>0</v>
      </c>
      <c r="N138" s="54">
        <f>IF(M138=0,0,VLOOKUP(18696,[1]!qryExcelSlab[#Data],4,FALSE))</f>
        <v>0</v>
      </c>
      <c r="O138" s="182"/>
      <c r="P138" s="55"/>
      <c r="Q138" s="182"/>
      <c r="R138" s="55"/>
      <c r="S138" s="56"/>
      <c r="T138" s="57" t="s">
        <v>24</v>
      </c>
    </row>
    <row r="139" spans="1:21" ht="18" customHeight="1" x14ac:dyDescent="0.25">
      <c r="A139" s="286"/>
      <c r="B139" s="287"/>
      <c r="C139" s="288"/>
      <c r="D139" s="289"/>
      <c r="E139" s="290"/>
      <c r="F139" s="291"/>
      <c r="G139" s="292"/>
      <c r="H139" s="293"/>
      <c r="I139" s="292"/>
      <c r="J139" s="294"/>
      <c r="K139" s="295"/>
      <c r="L139" s="296"/>
      <c r="M139" s="297"/>
      <c r="N139" s="298"/>
      <c r="O139" s="297"/>
      <c r="P139" s="296"/>
      <c r="Q139" s="297"/>
      <c r="R139" s="294"/>
      <c r="S139" s="299"/>
      <c r="T139" s="300"/>
    </row>
    <row r="140" spans="1:21" ht="18" customHeight="1" x14ac:dyDescent="0.25">
      <c r="A140" s="98" t="s">
        <v>147</v>
      </c>
      <c r="B140" s="44" t="s">
        <v>148</v>
      </c>
      <c r="C140" s="248"/>
      <c r="D140" s="46" t="s">
        <v>149</v>
      </c>
      <c r="E140" s="92" t="s">
        <v>103</v>
      </c>
      <c r="F140" s="195">
        <v>3</v>
      </c>
      <c r="G140" s="56"/>
      <c r="H140" s="50"/>
      <c r="I140" s="301"/>
      <c r="J140" s="302"/>
      <c r="K140" s="52">
        <f>VLOOKUP(18047,[1]!qryExcelSlab[#Data],5,FALSE)</f>
        <v>0</v>
      </c>
      <c r="L140" s="53">
        <f>IF(K140=0,0,VLOOKUP(18047,[1]!qryExcelSlab[#Data],4,FALSE))</f>
        <v>0</v>
      </c>
      <c r="M140" s="49"/>
      <c r="N140" s="54"/>
      <c r="O140" s="182" t="s">
        <v>3</v>
      </c>
      <c r="P140" s="55"/>
      <c r="Q140" s="182" t="s">
        <v>3</v>
      </c>
      <c r="R140" s="55"/>
      <c r="S140" s="56"/>
      <c r="T140" s="57" t="s">
        <v>24</v>
      </c>
    </row>
    <row r="141" spans="1:21" ht="18" customHeight="1" x14ac:dyDescent="0.25">
      <c r="A141" s="286"/>
      <c r="B141" s="287"/>
      <c r="C141" s="288"/>
      <c r="D141" s="289"/>
      <c r="E141" s="290"/>
      <c r="F141" s="291"/>
      <c r="G141" s="292"/>
      <c r="H141" s="293"/>
      <c r="I141" s="292"/>
      <c r="J141" s="294"/>
      <c r="K141" s="295"/>
      <c r="L141" s="296"/>
      <c r="M141" s="297"/>
      <c r="N141" s="298"/>
      <c r="O141" s="297"/>
      <c r="P141" s="296"/>
      <c r="Q141" s="297"/>
      <c r="R141" s="294"/>
      <c r="S141" s="299"/>
      <c r="T141" s="300"/>
    </row>
    <row r="142" spans="1:21" ht="18" customHeight="1" x14ac:dyDescent="0.25">
      <c r="A142" s="98" t="s">
        <v>147</v>
      </c>
      <c r="B142" s="44" t="s">
        <v>150</v>
      </c>
      <c r="C142" s="248"/>
      <c r="D142" s="46"/>
      <c r="E142" s="92" t="s">
        <v>103</v>
      </c>
      <c r="F142" s="195">
        <v>3</v>
      </c>
      <c r="G142" s="56"/>
      <c r="H142" s="50"/>
      <c r="I142" s="301"/>
      <c r="J142" s="302"/>
      <c r="K142" s="52">
        <f>VLOOKUP(18700,[1]!qryExcelSlab[#Data],5,FALSE)</f>
        <v>0</v>
      </c>
      <c r="L142" s="53">
        <f>IF(K142=0,0,VLOOKUP(18700,[1]!qryExcelSlab[#Data],4,FALSE))</f>
        <v>0</v>
      </c>
      <c r="M142" s="49">
        <f>VLOOKUP(18702,[1]!qryExcelSlab[#Data],5,FALSE)</f>
        <v>0</v>
      </c>
      <c r="N142" s="54">
        <f>IF(M142=0,0,VLOOKUP(18702,[1]!qryExcelSlab[#Data],4,FALSE))</f>
        <v>0</v>
      </c>
      <c r="O142" s="182" t="s">
        <v>3</v>
      </c>
      <c r="P142" s="55"/>
      <c r="Q142" s="182" t="s">
        <v>3</v>
      </c>
      <c r="R142" s="55"/>
      <c r="S142" s="56"/>
      <c r="T142" s="57" t="s">
        <v>24</v>
      </c>
    </row>
    <row r="143" spans="1:21" ht="18" customHeight="1" x14ac:dyDescent="0.25">
      <c r="A143" s="286"/>
      <c r="B143" s="287"/>
      <c r="C143" s="288"/>
      <c r="D143" s="289"/>
      <c r="E143" s="290"/>
      <c r="F143" s="291"/>
      <c r="G143" s="292"/>
      <c r="H143" s="293"/>
      <c r="I143" s="292"/>
      <c r="J143" s="294"/>
      <c r="K143" s="295"/>
      <c r="L143" s="296"/>
      <c r="M143" s="297"/>
      <c r="N143" s="298"/>
      <c r="O143" s="297"/>
      <c r="P143" s="296"/>
      <c r="Q143" s="297"/>
      <c r="R143" s="294"/>
      <c r="S143" s="299"/>
      <c r="T143" s="300"/>
    </row>
    <row r="144" spans="1:21" ht="18" customHeight="1" x14ac:dyDescent="0.25">
      <c r="A144" s="98" t="s">
        <v>147</v>
      </c>
      <c r="B144" s="44" t="s">
        <v>151</v>
      </c>
      <c r="C144" s="248"/>
      <c r="D144" s="46"/>
      <c r="E144" s="92" t="s">
        <v>103</v>
      </c>
      <c r="F144" s="195">
        <v>3</v>
      </c>
      <c r="G144" s="56"/>
      <c r="H144" s="50"/>
      <c r="I144" s="303">
        <f>VLOOKUP(30619,[1]!qryExcelSlab[#Data],5,FALSE)</f>
        <v>1</v>
      </c>
      <c r="J144" s="51">
        <f>IF(I144=0,0,VLOOKUP(30619,[1]!qryExcelSlab[#Data],4,FALSE))</f>
        <v>37</v>
      </c>
      <c r="K144" s="52">
        <f>VLOOKUP(18045,[1]!qryExcelSlab[#Data],5,FALSE)</f>
        <v>11</v>
      </c>
      <c r="L144" s="53">
        <f>IF(K144=0,0,VLOOKUP(18045,[1]!qryExcelSlab[#Data],4,FALSE))</f>
        <v>47</v>
      </c>
      <c r="M144" s="49"/>
      <c r="N144" s="54"/>
      <c r="O144" s="182" t="s">
        <v>3</v>
      </c>
      <c r="P144" s="55"/>
      <c r="Q144" s="182" t="s">
        <v>3</v>
      </c>
      <c r="R144" s="55"/>
      <c r="S144" s="56"/>
      <c r="T144" s="57" t="s">
        <v>24</v>
      </c>
      <c r="U144" t="s">
        <v>3</v>
      </c>
    </row>
    <row r="145" spans="1:21" s="3" customFormat="1" ht="18" customHeight="1" thickBot="1" x14ac:dyDescent="0.3">
      <c r="A145" s="304"/>
      <c r="B145" s="73"/>
      <c r="C145" s="305"/>
      <c r="D145" s="137"/>
      <c r="E145" s="133"/>
      <c r="G145" s="306"/>
      <c r="H145" s="4"/>
      <c r="I145" s="133"/>
      <c r="J145" s="5"/>
      <c r="K145" s="133"/>
      <c r="L145" s="4"/>
      <c r="M145" s="133"/>
      <c r="O145" s="133" t="s">
        <v>3</v>
      </c>
      <c r="P145" s="5"/>
      <c r="Q145" s="133"/>
      <c r="R145" s="5"/>
    </row>
    <row r="146" spans="1:21" s="3" customFormat="1" ht="18" customHeight="1" thickTop="1" thickBot="1" x14ac:dyDescent="0.3">
      <c r="A146" s="217" t="s">
        <v>152</v>
      </c>
      <c r="B146" s="73"/>
      <c r="C146" s="17"/>
      <c r="D146" s="18"/>
      <c r="E146" s="307"/>
      <c r="F146" s="220" t="s">
        <v>83</v>
      </c>
      <c r="G146" s="21" t="s">
        <v>5</v>
      </c>
      <c r="H146" s="308"/>
      <c r="I146" s="275" t="s">
        <v>6</v>
      </c>
      <c r="J146" s="283"/>
      <c r="K146" s="284" t="s">
        <v>7</v>
      </c>
      <c r="L146" s="25"/>
      <c r="M146" s="275" t="s">
        <v>8</v>
      </c>
      <c r="N146" s="283"/>
      <c r="O146" s="275" t="s">
        <v>9</v>
      </c>
      <c r="P146" s="283"/>
      <c r="Q146" s="275" t="s">
        <v>10</v>
      </c>
      <c r="R146" s="283"/>
      <c r="S146" s="275" t="s">
        <v>11</v>
      </c>
      <c r="T146" s="283"/>
    </row>
    <row r="147" spans="1:21" s="3" customFormat="1" ht="18" customHeight="1" thickTop="1" x14ac:dyDescent="0.25">
      <c r="A147" s="28" t="s">
        <v>12</v>
      </c>
      <c r="B147" s="76" t="s">
        <v>13</v>
      </c>
      <c r="C147" s="309"/>
      <c r="D147" s="149" t="s">
        <v>86</v>
      </c>
      <c r="E147" s="76" t="s">
        <v>16</v>
      </c>
      <c r="F147" s="221" t="s">
        <v>17</v>
      </c>
      <c r="G147" s="222" t="s">
        <v>18</v>
      </c>
      <c r="H147" s="285" t="s">
        <v>19</v>
      </c>
      <c r="I147" s="222" t="s">
        <v>18</v>
      </c>
      <c r="J147" s="223" t="s">
        <v>19</v>
      </c>
      <c r="K147" s="224" t="s">
        <v>18</v>
      </c>
      <c r="L147" s="225" t="s">
        <v>19</v>
      </c>
      <c r="M147" s="153" t="s">
        <v>18</v>
      </c>
      <c r="N147" s="226" t="s">
        <v>19</v>
      </c>
      <c r="O147" s="153" t="s">
        <v>18</v>
      </c>
      <c r="P147" s="225" t="s">
        <v>19</v>
      </c>
      <c r="Q147" s="153" t="s">
        <v>18</v>
      </c>
      <c r="R147" s="154" t="s">
        <v>19</v>
      </c>
      <c r="S147" s="153" t="s">
        <v>18</v>
      </c>
      <c r="T147" s="156" t="s">
        <v>19</v>
      </c>
    </row>
    <row r="148" spans="1:21" s="3" customFormat="1" ht="18" customHeight="1" x14ac:dyDescent="0.25">
      <c r="A148" s="43" t="s">
        <v>153</v>
      </c>
      <c r="B148" s="44" t="s">
        <v>119</v>
      </c>
      <c r="C148" s="45"/>
      <c r="D148" s="46"/>
      <c r="E148" s="92" t="s">
        <v>95</v>
      </c>
      <c r="F148" s="88">
        <v>5</v>
      </c>
      <c r="G148" s="56"/>
      <c r="H148" s="89"/>
      <c r="I148" s="56"/>
      <c r="J148" s="51" t="s">
        <v>3</v>
      </c>
      <c r="K148" s="310"/>
      <c r="L148" s="90" t="s">
        <v>3</v>
      </c>
      <c r="M148" s="49">
        <f>VLOOKUP(18709,[1]!qryExcelSlab[#Data],5,FALSE)</f>
        <v>8</v>
      </c>
      <c r="N148" s="91">
        <f>IF(M148=0,0,VLOOKUP(18709,[1]!qryExcelSlab[#Data],4,FALSE))</f>
        <v>67</v>
      </c>
      <c r="O148" s="49">
        <f>VLOOKUP(18711,[1]!qryExcelSlab[#Data],5,FALSE)</f>
        <v>0</v>
      </c>
      <c r="P148" s="90">
        <f>IF(O148=0,0,VLOOKUP(18711,[1]!qryExcelSlab[#Data],4,FALSE))</f>
        <v>0</v>
      </c>
      <c r="Q148" s="56"/>
      <c r="R148" s="51" t="s">
        <v>3</v>
      </c>
      <c r="S148" s="56"/>
      <c r="T148" s="57" t="s">
        <v>24</v>
      </c>
      <c r="U148" s="3" t="s">
        <v>3</v>
      </c>
    </row>
    <row r="149" spans="1:21" s="3" customFormat="1" ht="18" customHeight="1" x14ac:dyDescent="0.25">
      <c r="A149" s="311"/>
      <c r="B149" s="73"/>
      <c r="C149" s="74"/>
      <c r="D149" s="75"/>
      <c r="E149" s="76"/>
      <c r="F149" s="103"/>
      <c r="G149" s="80"/>
      <c r="H149" s="79"/>
      <c r="I149" s="80"/>
      <c r="J149" s="81"/>
      <c r="K149" s="82"/>
      <c r="L149" s="83"/>
      <c r="M149" s="78"/>
      <c r="N149" s="104"/>
      <c r="O149" s="78"/>
      <c r="P149" s="83"/>
      <c r="Q149" s="80"/>
      <c r="R149" s="81"/>
      <c r="S149" s="80"/>
      <c r="T149" s="86"/>
    </row>
    <row r="150" spans="1:21" s="3" customFormat="1" ht="18" customHeight="1" x14ac:dyDescent="0.25">
      <c r="A150" s="43" t="s">
        <v>153</v>
      </c>
      <c r="B150" s="44" t="s">
        <v>47</v>
      </c>
      <c r="C150" s="45"/>
      <c r="D150" s="46"/>
      <c r="E150" s="92" t="s">
        <v>31</v>
      </c>
      <c r="F150" s="88">
        <v>4</v>
      </c>
      <c r="G150" s="56"/>
      <c r="H150" s="89"/>
      <c r="I150" s="49">
        <f>VLOOKUP(18716,[1]!qryExcelSlab[#Data],5,FALSE)</f>
        <v>5</v>
      </c>
      <c r="J150" s="51">
        <f>IF(I150=0,0,VLOOKUP(18716,[1]!qryExcelSlab[#Data],4,FALSE))</f>
        <v>41</v>
      </c>
      <c r="K150" s="52">
        <f>VLOOKUP(18717,[1]!qryExcelSlab[#Data],5,FALSE)</f>
        <v>3</v>
      </c>
      <c r="L150" s="90">
        <f>IF(K150=0,0,VLOOKUP(18717,[1]!qryExcelSlab[#Data],4,FALSE))</f>
        <v>53</v>
      </c>
      <c r="M150" s="49">
        <f>VLOOKUP(18719,[1]!qryExcelSlab[#Data],5,FALSE)</f>
        <v>0</v>
      </c>
      <c r="N150" s="91">
        <f>IF(M150=0,0,VLOOKUP(18719,[1]!qryExcelSlab[#Data],4,FALSE))</f>
        <v>0</v>
      </c>
      <c r="O150" s="49">
        <f>VLOOKUP(18721,[1]!qryExcelSlab[#Data],5,FALSE)</f>
        <v>0</v>
      </c>
      <c r="P150" s="90">
        <f>IF(O150=0,0,VLOOKUP(18721,[1]!qryExcelSlab[#Data],4,FALSE))</f>
        <v>0</v>
      </c>
      <c r="Q150" s="49">
        <f>VLOOKUP(23467,[1]!qryExcelSlab[#Data],5,FALSE)</f>
        <v>0</v>
      </c>
      <c r="R150" s="51">
        <f>IF(Q150=0,0,VLOOKUP(23467,[1]!qryExcelSlab[#Data],4,FALSE))</f>
        <v>0</v>
      </c>
      <c r="S150" s="56"/>
      <c r="T150" s="57" t="s">
        <v>24</v>
      </c>
    </row>
    <row r="151" spans="1:21" s="3" customFormat="1" ht="18" customHeight="1" x14ac:dyDescent="0.25">
      <c r="A151" s="311"/>
      <c r="B151" s="73"/>
      <c r="C151" s="74"/>
      <c r="D151" s="75"/>
      <c r="E151" s="76"/>
      <c r="F151" s="103"/>
      <c r="G151" s="80"/>
      <c r="H151" s="79"/>
      <c r="I151" s="78"/>
      <c r="J151" s="81"/>
      <c r="K151" s="95"/>
      <c r="L151" s="83"/>
      <c r="M151" s="78"/>
      <c r="N151" s="104"/>
      <c r="O151" s="80"/>
      <c r="P151" s="83"/>
      <c r="Q151" s="80"/>
      <c r="R151" s="81"/>
      <c r="S151" s="80"/>
      <c r="T151" s="86"/>
    </row>
    <row r="152" spans="1:21" s="3" customFormat="1" ht="18" customHeight="1" x14ac:dyDescent="0.25">
      <c r="A152" s="43" t="s">
        <v>153</v>
      </c>
      <c r="B152" s="44" t="s">
        <v>154</v>
      </c>
      <c r="C152" s="45"/>
      <c r="D152" s="46"/>
      <c r="E152" s="76" t="s">
        <v>31</v>
      </c>
      <c r="F152" s="88">
        <v>4</v>
      </c>
      <c r="G152" s="56"/>
      <c r="H152" s="89"/>
      <c r="I152" s="49">
        <f>VLOOKUP(18728,[1]!qryExcelSlab[#Data],5,FALSE)</f>
        <v>2</v>
      </c>
      <c r="J152" s="51">
        <f>IF(I152=0,0,VLOOKUP(18728,[1]!qryExcelSlab[#Data],4,FALSE))</f>
        <v>41</v>
      </c>
      <c r="K152" s="52">
        <f>VLOOKUP(18729,[1]!qryExcelSlab[#Data],5,FALSE)</f>
        <v>0</v>
      </c>
      <c r="L152" s="90">
        <f>IF(K152=0,0,VLOOKUP(18729,[1]!qryExcelSlab[#Data],4,FALSE))</f>
        <v>0</v>
      </c>
      <c r="M152" s="49">
        <f>VLOOKUP(18731,[1]!qryExcelSlab[#Data],5,FALSE)</f>
        <v>0</v>
      </c>
      <c r="N152" s="91">
        <f>IF(M152=0,0,VLOOKUP(18731,[1]!qryExcelSlab[#Data],4,FALSE))</f>
        <v>0</v>
      </c>
      <c r="O152" s="49">
        <f>VLOOKUP(18732,[1]!qryExcelSlab[#Data],5,FALSE)</f>
        <v>0</v>
      </c>
      <c r="P152" s="90">
        <f>IF(O152=0,0,VLOOKUP(18732,[1]!qryExcelSlab[#Data],4,FALSE))</f>
        <v>0</v>
      </c>
      <c r="Q152" s="56"/>
      <c r="R152" s="51" t="s">
        <v>3</v>
      </c>
      <c r="S152" s="56"/>
      <c r="T152" s="57" t="s">
        <v>24</v>
      </c>
    </row>
    <row r="153" spans="1:21" s="3" customFormat="1" ht="18" customHeight="1" x14ac:dyDescent="0.25">
      <c r="A153" s="311"/>
      <c r="B153" s="73"/>
      <c r="C153" s="74"/>
      <c r="D153" s="75"/>
      <c r="E153" s="76"/>
      <c r="F153" s="103"/>
      <c r="G153" s="80"/>
      <c r="H153" s="79"/>
      <c r="I153" s="80"/>
      <c r="J153" s="81"/>
      <c r="K153" s="82"/>
      <c r="L153" s="83"/>
      <c r="M153" s="80"/>
      <c r="N153" s="104"/>
      <c r="O153" s="80"/>
      <c r="P153" s="83"/>
      <c r="Q153" s="80"/>
      <c r="R153" s="81"/>
      <c r="S153" s="80"/>
      <c r="T153" s="86"/>
    </row>
    <row r="154" spans="1:21" s="3" customFormat="1" ht="18" customHeight="1" thickBot="1" x14ac:dyDescent="0.3">
      <c r="A154" s="43" t="s">
        <v>153</v>
      </c>
      <c r="B154" s="44" t="s">
        <v>155</v>
      </c>
      <c r="C154" s="45"/>
      <c r="D154" s="46"/>
      <c r="E154" s="92" t="s">
        <v>31</v>
      </c>
      <c r="F154" s="88">
        <v>4</v>
      </c>
      <c r="G154" s="56"/>
      <c r="H154" s="89"/>
      <c r="I154" s="56"/>
      <c r="J154" s="51" t="s">
        <v>3</v>
      </c>
      <c r="K154" s="52">
        <f>VLOOKUP(19759,[1]!qryExcelSlab[#Data],5,FALSE)</f>
        <v>0</v>
      </c>
      <c r="L154" s="90">
        <f>IF(K154=0,0,VLOOKUP(19759,[1]!qryExcelSlab[#Data],4,FALSE))</f>
        <v>0</v>
      </c>
      <c r="M154" s="212">
        <f>VLOOKUP(18739,[1]!qryExcelSlab[#Data],5,FALSE)</f>
        <v>0</v>
      </c>
      <c r="N154" s="91">
        <f>IF(M154=0,0,VLOOKUP(18739,[1]!qryExcelSlab[#Data],4,FALSE))</f>
        <v>0</v>
      </c>
      <c r="O154" s="212">
        <f>VLOOKUP(18741,[1]!qryExcelSlab[#Data],5,FALSE)</f>
        <v>0</v>
      </c>
      <c r="P154" s="90">
        <f>IF(O154=0,0,VLOOKUP(18741,[1]!qryExcelSlab[#Data],4,FALSE))</f>
        <v>0</v>
      </c>
      <c r="Q154" s="49">
        <f>VLOOKUP(18742,[1]!qryExcelSlab[#Data],5,FALSE)</f>
        <v>0</v>
      </c>
      <c r="R154" s="51">
        <f>IF(Q154=0,0,VLOOKUP(18742,[1]!qryExcelSlab[#Data],4,FALSE))</f>
        <v>0</v>
      </c>
      <c r="S154" s="56"/>
      <c r="T154" s="57" t="s">
        <v>24</v>
      </c>
    </row>
    <row r="155" spans="1:21" s="3" customFormat="1" ht="18" customHeight="1" thickTop="1" thickBot="1" x14ac:dyDescent="0.3">
      <c r="A155" s="28"/>
      <c r="B155" s="73"/>
      <c r="C155" s="74"/>
      <c r="D155" s="218"/>
      <c r="E155" s="312"/>
      <c r="F155" s="220" t="s">
        <v>83</v>
      </c>
      <c r="G155" s="275" t="s">
        <v>84</v>
      </c>
      <c r="H155" s="276"/>
      <c r="I155" s="275" t="s">
        <v>6</v>
      </c>
      <c r="J155" s="283"/>
      <c r="K155" s="284" t="s">
        <v>7</v>
      </c>
      <c r="L155" s="25"/>
      <c r="M155" s="275" t="s">
        <v>8</v>
      </c>
      <c r="N155" s="283"/>
      <c r="O155" s="275" t="s">
        <v>9</v>
      </c>
      <c r="P155" s="283"/>
      <c r="Q155" s="275" t="s">
        <v>10</v>
      </c>
      <c r="R155" s="283"/>
      <c r="S155" s="27" t="s">
        <v>11</v>
      </c>
      <c r="T155" s="27"/>
    </row>
    <row r="156" spans="1:21" s="3" customFormat="1" ht="18" customHeight="1" thickTop="1" thickBot="1" x14ac:dyDescent="0.3">
      <c r="A156" s="9"/>
      <c r="B156" s="313"/>
      <c r="C156" s="11"/>
      <c r="E156" s="12"/>
      <c r="G156" s="314"/>
      <c r="H156" s="4"/>
      <c r="I156" s="12"/>
      <c r="J156" s="5"/>
      <c r="L156" s="4"/>
      <c r="P156" s="5"/>
      <c r="R156" s="5"/>
    </row>
    <row r="157" spans="1:21" s="3" customFormat="1" ht="33" thickTop="1" thickBot="1" x14ac:dyDescent="0.3">
      <c r="A157" s="217" t="s">
        <v>156</v>
      </c>
      <c r="B157" s="73"/>
      <c r="C157" s="74"/>
      <c r="D157" s="218"/>
      <c r="E157" s="312"/>
      <c r="F157" s="220" t="s">
        <v>83</v>
      </c>
      <c r="G157" s="21" t="s">
        <v>5</v>
      </c>
      <c r="H157" s="22"/>
      <c r="I157" s="275" t="s">
        <v>6</v>
      </c>
      <c r="J157" s="283"/>
      <c r="K157" s="284" t="s">
        <v>7</v>
      </c>
      <c r="L157" s="25"/>
      <c r="M157" s="275" t="s">
        <v>8</v>
      </c>
      <c r="N157" s="283"/>
      <c r="O157" s="275" t="s">
        <v>9</v>
      </c>
      <c r="P157" s="283"/>
      <c r="Q157" s="275" t="s">
        <v>10</v>
      </c>
      <c r="R157" s="283"/>
      <c r="S157" s="27" t="s">
        <v>11</v>
      </c>
      <c r="T157" s="27"/>
    </row>
    <row r="158" spans="1:21" s="3" customFormat="1" ht="32.25" thickTop="1" x14ac:dyDescent="0.25">
      <c r="A158" s="28" t="s">
        <v>12</v>
      </c>
      <c r="B158" s="76" t="s">
        <v>13</v>
      </c>
      <c r="C158" s="315" t="s">
        <v>14</v>
      </c>
      <c r="D158" s="316" t="s">
        <v>15</v>
      </c>
      <c r="E158" s="19" t="s">
        <v>16</v>
      </c>
      <c r="F158" s="317" t="s">
        <v>17</v>
      </c>
      <c r="G158" s="222" t="s">
        <v>18</v>
      </c>
      <c r="H158" s="285" t="s">
        <v>19</v>
      </c>
      <c r="I158" s="318" t="s">
        <v>18</v>
      </c>
      <c r="J158" s="319" t="s">
        <v>19</v>
      </c>
      <c r="K158" s="320" t="s">
        <v>18</v>
      </c>
      <c r="L158" s="321" t="s">
        <v>19</v>
      </c>
      <c r="M158" s="153" t="s">
        <v>18</v>
      </c>
      <c r="N158" s="155" t="s">
        <v>19</v>
      </c>
      <c r="O158" s="153" t="s">
        <v>18</v>
      </c>
      <c r="P158" s="154" t="s">
        <v>19</v>
      </c>
      <c r="Q158" s="153" t="s">
        <v>18</v>
      </c>
      <c r="R158" s="154" t="s">
        <v>19</v>
      </c>
      <c r="S158" s="153" t="s">
        <v>18</v>
      </c>
      <c r="T158" s="156" t="s">
        <v>19</v>
      </c>
    </row>
    <row r="159" spans="1:21" s="3" customFormat="1" ht="18" customHeight="1" x14ac:dyDescent="0.25">
      <c r="A159" s="43" t="s">
        <v>157</v>
      </c>
      <c r="B159" s="44" t="s">
        <v>158</v>
      </c>
      <c r="C159" s="45"/>
      <c r="D159" s="46"/>
      <c r="E159" s="92" t="s">
        <v>103</v>
      </c>
      <c r="F159" s="96">
        <v>2</v>
      </c>
      <c r="G159" s="49">
        <f>VLOOKUP(23468,[1]!qryExcelSlab[#Data],5,FALSE)</f>
        <v>-25</v>
      </c>
      <c r="H159" s="50">
        <f>IF(G159=0,0,VLOOKUP(23468,[1]!qryExcelSlab[#Data],4,FALSE))</f>
        <v>17.5</v>
      </c>
      <c r="I159" s="49">
        <f>VLOOKUP(18847,[1]!qryExcelSlab[#Data],5,FALSE)</f>
        <v>7</v>
      </c>
      <c r="J159" s="51">
        <f>IF(I159=0,0,VLOOKUP(18847,[1]!qryExcelSlab[#Data],4,FALSE))</f>
        <v>30</v>
      </c>
      <c r="K159" s="52">
        <f>VLOOKUP(19650,[1]!qryExcelSlab[#Data],5,FALSE)</f>
        <v>10</v>
      </c>
      <c r="L159" s="90">
        <f>IF(K159=0,0,VLOOKUP(19650,[1]!qryExcelSlab[#Data],4,FALSE))</f>
        <v>39</v>
      </c>
      <c r="M159" s="49">
        <f>VLOOKUP(18848,[1]!qryExcelSlab[#Data],5,FALSE)</f>
        <v>52</v>
      </c>
      <c r="N159" s="97">
        <f>IF(M159=0,0,VLOOKUP(18848,[1]!qryExcelSlab[#Data],4,FALSE))</f>
        <v>53</v>
      </c>
      <c r="O159" s="49">
        <f>VLOOKUP(18850,[1]!qryExcelSlab[#Data],5,FALSE)</f>
        <v>2</v>
      </c>
      <c r="P159" s="51">
        <f>IF(O159=0,0,VLOOKUP(18850,[1]!qryExcelSlab[#Data],4,FALSE))</f>
        <v>63</v>
      </c>
      <c r="Q159" s="49">
        <f>VLOOKUP(18851,[1]!qryExcelSlab[#Data],5,FALSE)</f>
        <v>0</v>
      </c>
      <c r="R159" s="51">
        <f>IF(Q159=0,0,VLOOKUP(18851,[1]!qryExcelSlab[#Data],4,FALSE))</f>
        <v>0</v>
      </c>
      <c r="S159" s="56">
        <f>VLOOKUP(20887,[1]!qryExcelSlab[#Data],5,FALSE)</f>
        <v>0</v>
      </c>
      <c r="T159" s="99" t="s">
        <v>24</v>
      </c>
    </row>
    <row r="160" spans="1:21" s="3" customFormat="1" ht="18" customHeight="1" x14ac:dyDescent="0.25">
      <c r="A160" s="102"/>
      <c r="B160" s="73"/>
      <c r="C160" s="74"/>
      <c r="D160" s="75"/>
      <c r="E160" s="76"/>
      <c r="F160" s="77"/>
      <c r="G160" s="78"/>
      <c r="H160" s="79"/>
      <c r="I160" s="80"/>
      <c r="J160" s="81"/>
      <c r="K160" s="95"/>
      <c r="L160" s="83"/>
      <c r="M160" s="78"/>
      <c r="N160" s="104"/>
      <c r="O160" s="78"/>
      <c r="P160" s="83"/>
      <c r="Q160" s="78"/>
      <c r="R160" s="81"/>
      <c r="S160" s="80"/>
      <c r="T160" s="86"/>
    </row>
    <row r="161" spans="1:42" s="3" customFormat="1" ht="18" customHeight="1" x14ac:dyDescent="0.25">
      <c r="A161" s="43" t="s">
        <v>159</v>
      </c>
      <c r="B161" s="44" t="s">
        <v>160</v>
      </c>
      <c r="C161" s="45"/>
      <c r="D161" s="46" t="s">
        <v>161</v>
      </c>
      <c r="E161" s="92" t="s">
        <v>103</v>
      </c>
      <c r="F161" s="88">
        <v>4</v>
      </c>
      <c r="G161" s="49">
        <f>VLOOKUP(29954,[1]!qryExcelSlab[#Data],5,FALSE)</f>
        <v>5</v>
      </c>
      <c r="H161" s="50">
        <f>IF(G161=0,0,VLOOKUP(29954,[1]!qryExcelSlab[#Data],4,FALSE))</f>
        <v>17.5</v>
      </c>
      <c r="I161" s="49">
        <f>VLOOKUP(20178,[1]!qryExcelSlab[#Data],5,FALSE)</f>
        <v>16</v>
      </c>
      <c r="J161" s="51">
        <f>IF(I161=0,0,VLOOKUP(20178,[1]!qryExcelSlab[#Data],4,FALSE))</f>
        <v>41</v>
      </c>
      <c r="K161" s="52">
        <f>VLOOKUP(20177,[1]!qryExcelSlab[#Data],5,FALSE)</f>
        <v>21</v>
      </c>
      <c r="L161" s="90">
        <f>IF(K161=0,0,VLOOKUP(20177,[1]!qryExcelSlab[#Data],4,FALSE))</f>
        <v>53</v>
      </c>
      <c r="M161" s="49">
        <f>VLOOKUP(20176,[1]!qryExcelSlab[#Data],5,FALSE)</f>
        <v>0</v>
      </c>
      <c r="N161" s="91">
        <f>IF(M161=0,0,VLOOKUP(20176,[1]!qryExcelSlab[#Data],4,FALSE))</f>
        <v>0</v>
      </c>
      <c r="O161" s="49">
        <f>VLOOKUP(20175,[1]!qryExcelSlab[#Data],5,FALSE)</f>
        <v>0</v>
      </c>
      <c r="P161" s="90">
        <f>IF(O161=0,0,VLOOKUP(20175,[1]!qryExcelSlab[#Data],4,FALSE))</f>
        <v>0</v>
      </c>
      <c r="Q161" s="49">
        <f>VLOOKUP(20174,[1]!qryExcelSlab[#Data],5,FALSE)</f>
        <v>0</v>
      </c>
      <c r="R161" s="51">
        <f>IF(Q161=0,0,VLOOKUP(20174,[1]!qryExcelSlab[#Data],4,FALSE))</f>
        <v>0</v>
      </c>
      <c r="S161" s="56">
        <f>VLOOKUP(20173,[1]!qryExcelSlab[#Data],5,FALSE)</f>
        <v>0</v>
      </c>
      <c r="T161" s="57" t="s">
        <v>24</v>
      </c>
    </row>
    <row r="162" spans="1:42" s="3" customFormat="1" ht="18" customHeight="1" x14ac:dyDescent="0.25">
      <c r="A162" s="28"/>
      <c r="B162" s="73"/>
      <c r="C162" s="74"/>
      <c r="D162" s="75"/>
      <c r="E162" s="76"/>
      <c r="F162" s="103"/>
      <c r="G162" s="78"/>
      <c r="H162" s="79"/>
      <c r="I162" s="80"/>
      <c r="J162" s="81"/>
      <c r="K162" s="82"/>
      <c r="L162" s="83"/>
      <c r="M162" s="78"/>
      <c r="N162" s="104"/>
      <c r="O162" s="78"/>
      <c r="P162" s="83"/>
      <c r="Q162" s="78"/>
      <c r="R162" s="81"/>
      <c r="S162" s="80"/>
      <c r="T162" s="86"/>
    </row>
    <row r="163" spans="1:42" s="3" customFormat="1" ht="18" customHeight="1" x14ac:dyDescent="0.25">
      <c r="A163" s="43" t="s">
        <v>162</v>
      </c>
      <c r="B163" s="322" t="s">
        <v>163</v>
      </c>
      <c r="C163" s="323"/>
      <c r="D163" s="324"/>
      <c r="E163" s="325" t="s">
        <v>103</v>
      </c>
      <c r="F163" s="88">
        <v>5</v>
      </c>
      <c r="G163" s="49">
        <f>VLOOKUP(30511,[1]!qryExcelSlab[#Data],5,FALSE)</f>
        <v>0</v>
      </c>
      <c r="H163" s="89">
        <f>IF(G163=0,0,VLOOKUP(30511,[1]!qryExcelSlab[#Data],4,FALSE))</f>
        <v>0</v>
      </c>
      <c r="I163" s="49">
        <f>VLOOKUP(22602,[1]!qryExcelSlab[#Data],5,FALSE)</f>
        <v>7</v>
      </c>
      <c r="J163" s="51">
        <f>IF(I163=0,0,VLOOKUP(22602,[1]!qryExcelSlab[#Data],4,FALSE))</f>
        <v>47</v>
      </c>
      <c r="K163" s="52">
        <f>VLOOKUP(22601,[1]!qryExcelSlab[#Data],5,FALSE)</f>
        <v>7</v>
      </c>
      <c r="L163" s="90">
        <f>IF(K163=0,0,VLOOKUP(22601,[1]!qryExcelSlab[#Data],4,FALSE))</f>
        <v>57</v>
      </c>
      <c r="M163" s="49">
        <f>VLOOKUP(30287,[1]!qryExcelSlab[#Data],5,FALSE)</f>
        <v>0</v>
      </c>
      <c r="N163" s="91">
        <f>IF(M163=0,0,VLOOKUP(30287,[1]!qryExcelSlab[#Data],4,FALSE))</f>
        <v>0</v>
      </c>
      <c r="O163" s="49">
        <f>VLOOKUP(30366,[1]!qryExcelSlab[#Data],5,FALSE)</f>
        <v>0</v>
      </c>
      <c r="P163" s="90">
        <f>IF(O163=0,0,VLOOKUP(30366,[1]!qryExcelSlab[#Data],4,FALSE))</f>
        <v>0</v>
      </c>
      <c r="Q163" s="56"/>
      <c r="R163" s="51" t="s">
        <v>164</v>
      </c>
      <c r="S163" s="326"/>
      <c r="T163" s="57" t="s">
        <v>24</v>
      </c>
    </row>
    <row r="164" spans="1:42" s="3" customFormat="1" ht="18" customHeight="1" x14ac:dyDescent="0.25">
      <c r="A164" s="327"/>
      <c r="B164" s="287"/>
      <c r="C164" s="328"/>
      <c r="D164" s="329"/>
      <c r="E164" s="330"/>
      <c r="F164" s="331"/>
      <c r="G164" s="78"/>
      <c r="H164" s="332"/>
      <c r="I164" s="78"/>
      <c r="J164" s="333"/>
      <c r="K164" s="334"/>
      <c r="L164" s="335"/>
      <c r="M164" s="336"/>
      <c r="N164" s="337"/>
      <c r="O164" s="336"/>
      <c r="P164" s="335"/>
      <c r="Q164" s="336"/>
      <c r="R164" s="333"/>
      <c r="S164" s="338"/>
      <c r="T164" s="339"/>
    </row>
    <row r="165" spans="1:42" s="3" customFormat="1" ht="18" customHeight="1" x14ac:dyDescent="0.25">
      <c r="A165" s="43" t="s">
        <v>165</v>
      </c>
      <c r="B165" s="44" t="s">
        <v>166</v>
      </c>
      <c r="C165" s="45"/>
      <c r="D165" s="75"/>
      <c r="E165" s="92" t="s">
        <v>103</v>
      </c>
      <c r="F165" s="96">
        <v>1</v>
      </c>
      <c r="G165" s="49">
        <f>VLOOKUP(23469,[1]!qryExcelSlab[#Data],5,FALSE)</f>
        <v>94</v>
      </c>
      <c r="H165" s="50">
        <f>IF(G165=0,0,VLOOKUP(23469,[1]!qryExcelSlab[#Data],4,FALSE))</f>
        <v>17.5</v>
      </c>
      <c r="I165" s="49">
        <f>VLOOKUP(30025,[1]!qryExcelSlab[#Data],5,FALSE)</f>
        <v>9</v>
      </c>
      <c r="J165" s="51">
        <f>IF(I165=0,0,VLOOKUP(30025,[1]!qryExcelSlab[#Data],4,FALSE))</f>
        <v>27</v>
      </c>
      <c r="K165" s="52">
        <f>VLOOKUP(22360,[1]!qryExcelSlab[#Data],5,FALSE)</f>
        <v>11</v>
      </c>
      <c r="L165" s="53">
        <f>IF(K165=0,0,VLOOKUP(22360,[1]!qryExcelSlab[#Data],4,FALSE))</f>
        <v>34</v>
      </c>
      <c r="M165" s="49">
        <f>VLOOKUP(18852,[1]!qryExcelSlab[#Data],5,FALSE)</f>
        <v>33</v>
      </c>
      <c r="N165" s="54">
        <f>IF(M165=0,0,VLOOKUP(18852,[1]!qryExcelSlab[#Data],4,FALSE))</f>
        <v>49</v>
      </c>
      <c r="O165" s="49">
        <f>VLOOKUP(18854,[1]!qryExcelSlab[#Data],5,FALSE)</f>
        <v>0</v>
      </c>
      <c r="P165" s="55">
        <f>IF(O165=0,0,VLOOKUP(18854,[1]!qryExcelSlab[#Data],4,FALSE))</f>
        <v>0</v>
      </c>
      <c r="Q165" s="49">
        <f>VLOOKUP(18855,[1]!qryExcelSlab[#Data],5,FALSE)</f>
        <v>9</v>
      </c>
      <c r="R165" s="55">
        <f>IF(Q165=0,0,VLOOKUP(18855,[1]!qryExcelSlab[#Data],4,FALSE))</f>
        <v>64</v>
      </c>
      <c r="S165" s="326">
        <f>VLOOKUP(18856,[1]!qryExcelSlab[#Data],5,FALSE)</f>
        <v>0</v>
      </c>
      <c r="T165" s="57" t="s">
        <v>24</v>
      </c>
      <c r="U165" s="3" t="s">
        <v>3</v>
      </c>
    </row>
    <row r="166" spans="1:42" s="3" customFormat="1" ht="18" customHeight="1" x14ac:dyDescent="0.25">
      <c r="A166" s="28"/>
      <c r="B166" s="73"/>
      <c r="C166" s="74"/>
      <c r="D166" s="75"/>
      <c r="E166" s="76"/>
      <c r="F166" s="103"/>
      <c r="G166" s="78"/>
      <c r="H166" s="79"/>
      <c r="I166" s="80"/>
      <c r="J166" s="81"/>
      <c r="K166" s="82"/>
      <c r="L166" s="83"/>
      <c r="M166" s="78"/>
      <c r="N166" s="104"/>
      <c r="O166" s="78"/>
      <c r="P166" s="83"/>
      <c r="Q166" s="78"/>
      <c r="R166" s="81"/>
      <c r="S166" s="340"/>
      <c r="T166" s="86"/>
    </row>
    <row r="167" spans="1:42" s="3" customFormat="1" ht="18" customHeight="1" x14ac:dyDescent="0.25">
      <c r="A167" s="43" t="s">
        <v>167</v>
      </c>
      <c r="B167" s="341" t="s">
        <v>168</v>
      </c>
      <c r="C167" s="45"/>
      <c r="D167" s="46" t="s">
        <v>169</v>
      </c>
      <c r="E167" s="92" t="s">
        <v>103</v>
      </c>
      <c r="F167" s="88">
        <v>13</v>
      </c>
      <c r="G167" s="49"/>
      <c r="H167" s="89">
        <f>IF(G167=0,0,5)</f>
        <v>0</v>
      </c>
      <c r="I167" s="49"/>
      <c r="J167" s="51">
        <f>IF(I167=0,0,10)</f>
        <v>0</v>
      </c>
      <c r="K167" s="52">
        <f>VLOOKUP(22610,[1]!qryExcelSlab[#Data],5,FALSE)</f>
        <v>0</v>
      </c>
      <c r="L167" s="90">
        <f>IF(K167=0,0,VLOOKUP(22610,[1]!qryExcelSlab[#Data],4,FALSE))</f>
        <v>0</v>
      </c>
      <c r="M167" s="49">
        <f>VLOOKUP(22609,[1]!qryExcelSlab[#Data],5,FALSE)</f>
        <v>0</v>
      </c>
      <c r="N167" s="91">
        <f>IF(M167=0,0,VLOOKUP(22609,[1]!qryExcelSlab[#Data],4,FALSE))</f>
        <v>0</v>
      </c>
      <c r="O167" s="49">
        <f>VLOOKUP(22608,[1]!qryExcelSlab[#Data],5,FALSE)</f>
        <v>0</v>
      </c>
      <c r="P167" s="90">
        <f>IF(O167=0,0,VLOOKUP(22608,[1]!qryExcelSlab[#Data],4,FALSE))</f>
        <v>0</v>
      </c>
      <c r="Q167" s="49"/>
      <c r="R167" s="51" t="s">
        <v>3</v>
      </c>
      <c r="S167" s="342"/>
      <c r="T167" s="57" t="s">
        <v>24</v>
      </c>
    </row>
    <row r="168" spans="1:42" s="3" customFormat="1" ht="18" customHeight="1" x14ac:dyDescent="0.25">
      <c r="A168" s="28"/>
      <c r="B168" s="73"/>
      <c r="C168" s="74"/>
      <c r="D168" s="75"/>
      <c r="E168" s="76"/>
      <c r="F168" s="77"/>
      <c r="G168" s="78"/>
      <c r="H168" s="79"/>
      <c r="I168" s="80"/>
      <c r="J168" s="81"/>
      <c r="K168" s="82"/>
      <c r="L168" s="83"/>
      <c r="M168" s="78"/>
      <c r="N168" s="104"/>
      <c r="O168" s="78"/>
      <c r="P168" s="83"/>
      <c r="Q168" s="78"/>
      <c r="R168" s="81"/>
      <c r="S168" s="340"/>
      <c r="T168" s="86"/>
    </row>
    <row r="169" spans="1:42" s="173" customFormat="1" ht="18" customHeight="1" x14ac:dyDescent="0.25">
      <c r="A169" s="43" t="s">
        <v>170</v>
      </c>
      <c r="B169" s="322" t="s">
        <v>171</v>
      </c>
      <c r="C169" s="323"/>
      <c r="D169" s="324" t="s">
        <v>172</v>
      </c>
      <c r="E169" s="325" t="s">
        <v>173</v>
      </c>
      <c r="F169" s="88">
        <v>5</v>
      </c>
      <c r="G169" s="49" t="s">
        <v>3</v>
      </c>
      <c r="H169" s="89"/>
      <c r="I169" s="49">
        <f>VLOOKUP(22612,[1]!qryExcelSlab[#Data],5,FALSE)</f>
        <v>2</v>
      </c>
      <c r="J169" s="51">
        <f>IF(I169=0,0,VLOOKUP(22612,[1]!qryExcelSlab[#Data],4,FALSE))</f>
        <v>47</v>
      </c>
      <c r="K169" s="52">
        <f>VLOOKUP(22611,[1]!qryExcelSlab[#Data],5,FALSE)</f>
        <v>0</v>
      </c>
      <c r="L169" s="90" t="s">
        <v>3</v>
      </c>
      <c r="M169" s="49"/>
      <c r="N169" s="91" t="s">
        <v>3</v>
      </c>
      <c r="O169" s="49"/>
      <c r="P169" s="90" t="s">
        <v>3</v>
      </c>
      <c r="Q169" s="56"/>
      <c r="R169" s="51" t="s">
        <v>3</v>
      </c>
      <c r="S169" s="326"/>
      <c r="T169" s="57" t="s">
        <v>24</v>
      </c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1:42" s="3" customFormat="1" ht="18" customHeight="1" x14ac:dyDescent="0.25">
      <c r="A170" s="327"/>
      <c r="B170" s="287"/>
      <c r="C170" s="328"/>
      <c r="D170" s="329"/>
      <c r="E170" s="330"/>
      <c r="F170" s="331"/>
      <c r="G170" s="78"/>
      <c r="H170" s="332"/>
      <c r="I170" s="78"/>
      <c r="J170" s="333"/>
      <c r="K170" s="334"/>
      <c r="L170" s="335"/>
      <c r="M170" s="336"/>
      <c r="N170" s="337"/>
      <c r="O170" s="336"/>
      <c r="P170" s="335"/>
      <c r="Q170" s="336"/>
      <c r="R170" s="333"/>
      <c r="S170" s="338"/>
      <c r="T170" s="339"/>
    </row>
    <row r="171" spans="1:42" s="3" customFormat="1" ht="18" customHeight="1" x14ac:dyDescent="0.25">
      <c r="A171" s="43" t="s">
        <v>174</v>
      </c>
      <c r="B171" s="44" t="s">
        <v>148</v>
      </c>
      <c r="C171" s="45"/>
      <c r="D171" s="46"/>
      <c r="E171" s="92" t="s">
        <v>103</v>
      </c>
      <c r="F171" s="96">
        <v>1</v>
      </c>
      <c r="G171" s="49">
        <f>VLOOKUP(23470,[1]!qryExcelSlab[#Data],5,FALSE)</f>
        <v>47</v>
      </c>
      <c r="H171" s="50">
        <f>IF(G171=0,0,VLOOKUP(23470,[1]!qryExcelSlab[#Data],4,FALSE))</f>
        <v>17.5</v>
      </c>
      <c r="I171" s="49">
        <f>VLOOKUP(30026,[1]!qryExcelSlab[#Data],5,FALSE)</f>
        <v>1</v>
      </c>
      <c r="J171" s="51">
        <f>IF(I171=0,0,VLOOKUP(30026,[1]!qryExcelSlab[#Data],4,FALSE))</f>
        <v>27</v>
      </c>
      <c r="K171" s="52">
        <f>VLOOKUP(18840,[1]!qryExcelSlab[#Data],5,FALSE)</f>
        <v>10</v>
      </c>
      <c r="L171" s="53">
        <f>IF(K171=0,0,VLOOKUP(18840,[1]!qryExcelSlab[#Data],4,FALSE))</f>
        <v>34</v>
      </c>
      <c r="M171" s="49">
        <f>VLOOKUP(18842,[1]!qryExcelSlab[#Data],5,FALSE)</f>
        <v>30</v>
      </c>
      <c r="N171" s="54">
        <f>IF(M171=0,0,VLOOKUP(18842,[1]!qryExcelSlab[#Data],4,FALSE))</f>
        <v>49</v>
      </c>
      <c r="O171" s="49">
        <f>VLOOKUP(18844,[1]!qryExcelSlab[#Data],5,FALSE)</f>
        <v>28</v>
      </c>
      <c r="P171" s="55">
        <f>IF(O171=0,0,VLOOKUP(18844,[1]!qryExcelSlab[#Data],4,FALSE))</f>
        <v>59</v>
      </c>
      <c r="Q171" s="49">
        <f>VLOOKUP(18845,[1]!qryExcelSlab[#Data],5,FALSE)</f>
        <v>0</v>
      </c>
      <c r="R171" s="55">
        <f>IF(Q171=0,0,VLOOKUP(18845,[1]!qryExcelSlab[#Data],4,FALSE))</f>
        <v>0</v>
      </c>
      <c r="S171" s="49">
        <f>VLOOKUP(18846,[1]!qryExcelSlab[#Data],5,FALSE)</f>
        <v>0</v>
      </c>
      <c r="T171" s="57" t="s">
        <v>24</v>
      </c>
    </row>
    <row r="172" spans="1:42" s="3" customFormat="1" ht="18" customHeight="1" x14ac:dyDescent="0.25">
      <c r="A172" s="196"/>
      <c r="B172" s="159"/>
      <c r="C172" s="160"/>
      <c r="D172" s="161"/>
      <c r="E172" s="76"/>
      <c r="F172" s="343"/>
      <c r="G172" s="201"/>
      <c r="H172" s="344"/>
      <c r="I172" s="198"/>
      <c r="J172" s="200"/>
      <c r="K172" s="243"/>
      <c r="L172" s="345"/>
      <c r="M172" s="201"/>
      <c r="N172" s="346"/>
      <c r="O172" s="201"/>
      <c r="P172" s="345"/>
      <c r="Q172" s="201"/>
      <c r="R172" s="200"/>
      <c r="S172" s="201"/>
      <c r="T172" s="203"/>
    </row>
    <row r="173" spans="1:42" s="3" customFormat="1" ht="18" customHeight="1" x14ac:dyDescent="0.25">
      <c r="A173" s="347"/>
      <c r="B173" s="44" t="s">
        <v>175</v>
      </c>
      <c r="C173" s="45"/>
      <c r="D173" s="46" t="s">
        <v>176</v>
      </c>
      <c r="E173" s="92" t="s">
        <v>177</v>
      </c>
      <c r="F173" s="96" t="s">
        <v>178</v>
      </c>
      <c r="G173" s="49">
        <f>VLOOKUP(29996,[1]!qryExcelSlab[#Data],5,FALSE)</f>
        <v>0</v>
      </c>
      <c r="H173" s="50">
        <f>IF(G173=0,0,VLOOKUP(29996,[1]!qryExcelSlab[#Data],4,FALSE))</f>
        <v>0</v>
      </c>
      <c r="I173" s="56"/>
      <c r="J173" s="51"/>
      <c r="K173" s="52"/>
      <c r="L173" s="53"/>
      <c r="M173" s="49"/>
      <c r="N173" s="256"/>
      <c r="O173" s="49"/>
      <c r="P173" s="53"/>
      <c r="Q173" s="49"/>
      <c r="R173" s="55"/>
      <c r="S173" s="49"/>
      <c r="T173" s="57"/>
    </row>
    <row r="174" spans="1:42" s="3" customFormat="1" ht="18" customHeight="1" x14ac:dyDescent="0.25">
      <c r="A174" s="102"/>
      <c r="B174" s="73"/>
      <c r="C174" s="74"/>
      <c r="D174" s="75"/>
      <c r="E174" s="76"/>
      <c r="F174" s="77"/>
      <c r="G174" s="78"/>
      <c r="H174" s="79"/>
      <c r="I174" s="80"/>
      <c r="J174" s="81"/>
      <c r="K174" s="95"/>
      <c r="L174" s="83"/>
      <c r="M174" s="78"/>
      <c r="N174" s="104"/>
      <c r="O174" s="78"/>
      <c r="P174" s="83"/>
      <c r="Q174" s="78"/>
      <c r="R174" s="81"/>
      <c r="S174" s="80"/>
      <c r="T174" s="86"/>
    </row>
    <row r="175" spans="1:42" s="3" customFormat="1" ht="18" customHeight="1" x14ac:dyDescent="0.25">
      <c r="A175" s="43" t="s">
        <v>179</v>
      </c>
      <c r="B175" s="44" t="s">
        <v>180</v>
      </c>
      <c r="C175" s="45"/>
      <c r="D175" s="46"/>
      <c r="E175" s="92" t="s">
        <v>103</v>
      </c>
      <c r="F175" s="88">
        <v>4</v>
      </c>
      <c r="G175" s="49">
        <f>VLOOKUP(30269,[1]!qryExcelSlab[#Data],5,FALSE)</f>
        <v>0</v>
      </c>
      <c r="H175" s="89">
        <f>IF(G175=0,0,VLOOKUP(30269,[1]!qryExcelSlab[#Data],4,FALSE))</f>
        <v>0</v>
      </c>
      <c r="I175" s="49">
        <f>VLOOKUP(20172,[1]!qryExcelSlab[#Data],5,FALSE)</f>
        <v>7</v>
      </c>
      <c r="J175" s="51">
        <f>IF(I175=0,0,VLOOKUP(20172,[1]!qryExcelSlab[#Data],4,FALSE))</f>
        <v>41</v>
      </c>
      <c r="K175" s="52">
        <f>VLOOKUP(20170,[1]!qryExcelSlab[#Data],5,FALSE)</f>
        <v>15</v>
      </c>
      <c r="L175" s="90">
        <f>IF(K175=0,0,VLOOKUP(20170,[1]!qryExcelSlab[#Data],4,FALSE))</f>
        <v>53</v>
      </c>
      <c r="M175" s="49">
        <f>VLOOKUP(20169,[1]!qryExcelSlab[#Data],5,FALSE)</f>
        <v>9</v>
      </c>
      <c r="N175" s="91">
        <f>IF(M175=0,0,VLOOKUP(20169,[1]!qryExcelSlab[#Data],4,FALSE))</f>
        <v>63</v>
      </c>
      <c r="O175" s="49">
        <f>VLOOKUP(20168,[1]!qryExcelSlab[#Data],5,FALSE)</f>
        <v>0</v>
      </c>
      <c r="P175" s="90">
        <f>IF(O175=0,0,VLOOKUP(20168,[1]!qryExcelSlab[#Data],4,FALSE))</f>
        <v>0</v>
      </c>
      <c r="Q175" s="49">
        <f>VLOOKUP(20167,[1]!qryExcelSlab[#Data],5,FALSE)</f>
        <v>0</v>
      </c>
      <c r="R175" s="51">
        <f>IF(Q175=0,0,VLOOKUP(20167,[1]!qryExcelSlab[#Data],4,FALSE))</f>
        <v>0</v>
      </c>
      <c r="S175" s="49">
        <f>VLOOKUP(20166,[1]!qryExcelSlab[#Data],5,FALSE)</f>
        <v>0</v>
      </c>
      <c r="T175" s="57" t="s">
        <v>24</v>
      </c>
      <c r="U175" s="3" t="s">
        <v>3</v>
      </c>
    </row>
    <row r="176" spans="1:42" s="3" customFormat="1" ht="18" customHeight="1" x14ac:dyDescent="0.25">
      <c r="A176" s="28"/>
      <c r="B176" s="73"/>
      <c r="C176" s="74"/>
      <c r="D176" s="75"/>
      <c r="E176" s="76"/>
      <c r="F176" s="103"/>
      <c r="G176" s="78"/>
      <c r="H176" s="79"/>
      <c r="I176" s="80"/>
      <c r="J176" s="81"/>
      <c r="K176" s="95"/>
      <c r="L176" s="83"/>
      <c r="M176" s="78"/>
      <c r="N176" s="104"/>
      <c r="O176" s="78"/>
      <c r="P176" s="83"/>
      <c r="Q176" s="78"/>
      <c r="R176" s="81"/>
      <c r="S176" s="80"/>
      <c r="T176" s="86"/>
    </row>
    <row r="177" spans="1:42" s="3" customFormat="1" ht="18" customHeight="1" x14ac:dyDescent="0.25">
      <c r="A177" s="43" t="s">
        <v>181</v>
      </c>
      <c r="B177" s="44" t="s">
        <v>151</v>
      </c>
      <c r="C177" s="45"/>
      <c r="D177" s="46" t="s">
        <v>182</v>
      </c>
      <c r="E177" s="92" t="s">
        <v>103</v>
      </c>
      <c r="F177" s="96">
        <v>2</v>
      </c>
      <c r="G177" s="49">
        <f>VLOOKUP(30271,[1]!qryExcelSlab[#Data],5,FALSE)</f>
        <v>0</v>
      </c>
      <c r="H177" s="89">
        <f>IF(G177=0,0,VLOOKUP(30271,[1]!qryExcelSlab[#Data],4,FALSE))</f>
        <v>0</v>
      </c>
      <c r="I177" s="56"/>
      <c r="J177" s="51" t="s">
        <v>3</v>
      </c>
      <c r="K177" s="52">
        <f>VLOOKUP(22761,[1]!qryExcelSlab[#Data],5,FALSE)</f>
        <v>0</v>
      </c>
      <c r="L177" s="90">
        <f>IF(K177=0,0,VLOOKUP(22761,[1]!qryExcelSlab[#Data],4,FALSE))</f>
        <v>0</v>
      </c>
      <c r="M177" s="49">
        <f>VLOOKUP(18964,[1]!qryExcelSlab[#Data],5,FALSE)</f>
        <v>6</v>
      </c>
      <c r="N177" s="97">
        <f>IF(M177=0,0,VLOOKUP(18964,[1]!qryExcelSlab[#Data],4,FALSE))</f>
        <v>53</v>
      </c>
      <c r="O177" s="49">
        <f>VLOOKUP(18858,[1]!qryExcelSlab[#Data],5,FALSE)</f>
        <v>7</v>
      </c>
      <c r="P177" s="51">
        <f>IF(O177=0,0,VLOOKUP(18858,[1]!qryExcelSlab[#Data],4,FALSE))</f>
        <v>63</v>
      </c>
      <c r="Q177" s="49">
        <f>VLOOKUP(18859,[1]!qryExcelSlab[#Data],5,FALSE)</f>
        <v>0</v>
      </c>
      <c r="R177" s="51">
        <f>IF(Q177=0,0,VLOOKUP(18859,[1]!qryExcelSlab[#Data],4,FALSE))</f>
        <v>0</v>
      </c>
      <c r="S177" s="49">
        <f>VLOOKUP(18860,[1]!qryExcelSlab[#Data],5,FALSE)</f>
        <v>0</v>
      </c>
      <c r="T177" s="99" t="s">
        <v>24</v>
      </c>
    </row>
    <row r="178" spans="1:42" s="3" customFormat="1" ht="18" customHeight="1" x14ac:dyDescent="0.25">
      <c r="A178" s="28"/>
      <c r="B178" s="73"/>
      <c r="C178" s="74"/>
      <c r="D178" s="75"/>
      <c r="E178" s="76"/>
      <c r="F178" s="103"/>
      <c r="G178" s="78"/>
      <c r="H178" s="79"/>
      <c r="I178" s="80"/>
      <c r="J178" s="81"/>
      <c r="K178" s="95"/>
      <c r="L178" s="83"/>
      <c r="M178" s="78"/>
      <c r="N178" s="104"/>
      <c r="O178" s="78"/>
      <c r="P178" s="83"/>
      <c r="Q178" s="78"/>
      <c r="R178" s="81"/>
      <c r="S178" s="80"/>
      <c r="T178" s="86"/>
    </row>
    <row r="179" spans="1:42" s="3" customFormat="1" ht="18" customHeight="1" x14ac:dyDescent="0.25">
      <c r="A179" s="43" t="s">
        <v>183</v>
      </c>
      <c r="B179" s="44" t="s">
        <v>184</v>
      </c>
      <c r="C179" s="45"/>
      <c r="D179" s="46"/>
      <c r="E179" s="92" t="s">
        <v>103</v>
      </c>
      <c r="F179" s="96">
        <v>2</v>
      </c>
      <c r="G179" s="49">
        <f>VLOOKUP(23471,[1]!qryExcelSlab[#Data],5,FALSE)</f>
        <v>31</v>
      </c>
      <c r="H179" s="50">
        <f>IF(G179=0,0,VLOOKUP(23471,[1]!qryExcelSlab[#Data],4,FALSE))</f>
        <v>17.5</v>
      </c>
      <c r="I179" s="49">
        <f>VLOOKUP(30010,[1]!qryExcelSlab[#Data],5,FALSE)</f>
        <v>9</v>
      </c>
      <c r="J179" s="51">
        <f>IF(I179=0,0,VLOOKUP(30010,[1]!qryExcelSlab[#Data],4,FALSE))</f>
        <v>30</v>
      </c>
      <c r="K179" s="52">
        <f>VLOOKUP(19687,[1]!qryExcelSlab[#Data],5,FALSE)</f>
        <v>28</v>
      </c>
      <c r="L179" s="90">
        <f>IF(K179=0,0,VLOOKUP(19687,[1]!qryExcelSlab[#Data],4,FALSE))</f>
        <v>39</v>
      </c>
      <c r="M179" s="49">
        <f>VLOOKUP(18862,[1]!qryExcelSlab[#Data],5,FALSE)</f>
        <v>25</v>
      </c>
      <c r="N179" s="97">
        <f>IF(M179=0,0,VLOOKUP(18862,[1]!qryExcelSlab[#Data],4,FALSE))</f>
        <v>53</v>
      </c>
      <c r="O179" s="49">
        <f>VLOOKUP(22356,[1]!qryExcelSlab[#Data],5,FALSE)</f>
        <v>29</v>
      </c>
      <c r="P179" s="51">
        <f>IF(O179=0,0,VLOOKUP(22356,[1]!qryExcelSlab[#Data],4,FALSE))</f>
        <v>63</v>
      </c>
      <c r="Q179" s="49">
        <f>VLOOKUP(23543,[1]!qryExcelSlab[#Data],5,FALSE)</f>
        <v>41</v>
      </c>
      <c r="R179" s="51">
        <f>IF(Q179=0,0,VLOOKUP(23543,[1]!qryExcelSlab[#Data],4,FALSE))</f>
        <v>68</v>
      </c>
      <c r="S179" s="49">
        <f>VLOOKUP(23542,[1]!qryExcelSlab[#Data],5,FALSE)</f>
        <v>0</v>
      </c>
      <c r="T179" s="99" t="s">
        <v>24</v>
      </c>
    </row>
    <row r="180" spans="1:42" s="3" customFormat="1" ht="18" customHeight="1" x14ac:dyDescent="0.25">
      <c r="A180" s="102"/>
      <c r="B180" s="73"/>
      <c r="C180" s="74"/>
      <c r="D180" s="75"/>
      <c r="E180" s="76"/>
      <c r="F180" s="77"/>
      <c r="G180" s="78"/>
      <c r="H180" s="79"/>
      <c r="I180" s="80"/>
      <c r="J180" s="81"/>
      <c r="K180" s="95"/>
      <c r="L180" s="83"/>
      <c r="M180" s="78"/>
      <c r="N180" s="104"/>
      <c r="O180" s="78"/>
      <c r="P180" s="83"/>
      <c r="Q180" s="78"/>
      <c r="R180" s="81"/>
      <c r="S180" s="80"/>
      <c r="T180" s="86"/>
    </row>
    <row r="181" spans="1:42" s="3" customFormat="1" ht="18" customHeight="1" x14ac:dyDescent="0.25">
      <c r="A181" s="43" t="s">
        <v>185</v>
      </c>
      <c r="B181" s="44" t="s">
        <v>150</v>
      </c>
      <c r="C181" s="45"/>
      <c r="D181" s="46" t="s">
        <v>186</v>
      </c>
      <c r="E181" s="92" t="s">
        <v>103</v>
      </c>
      <c r="F181" s="88">
        <v>4</v>
      </c>
      <c r="G181" s="49">
        <f>VLOOKUP(29948,[1]!qryExcelSlab[#Data],5,FALSE)</f>
        <v>0</v>
      </c>
      <c r="H181" s="50">
        <f>IF(G181=0,0,VLOOKUP(29948,[1]!qryExcelSlab[#Data],4,FALSE))</f>
        <v>0</v>
      </c>
      <c r="I181" s="49">
        <f>VLOOKUP(20069,[1]!qryExcelSlab[#Data],5,FALSE)</f>
        <v>2</v>
      </c>
      <c r="J181" s="51">
        <f>IF(I181=0,0,VLOOKUP(20069,[1]!qryExcelSlab[#Data],4,FALSE))</f>
        <v>41</v>
      </c>
      <c r="K181" s="52">
        <f>VLOOKUP(20050,[1]!qryExcelSlab[#Data],5,FALSE)</f>
        <v>22</v>
      </c>
      <c r="L181" s="90">
        <f>IF(K181=0,0,VLOOKUP(20050,[1]!qryExcelSlab[#Data],4,FALSE))</f>
        <v>53</v>
      </c>
      <c r="M181" s="49">
        <f>VLOOKUP(20049,[1]!qryExcelSlab[#Data],5,FALSE)</f>
        <v>18</v>
      </c>
      <c r="N181" s="91">
        <f>IF(M181=0,0,VLOOKUP(20049,[1]!qryExcelSlab[#Data],4,FALSE))</f>
        <v>63</v>
      </c>
      <c r="O181" s="49">
        <f>VLOOKUP(20048,[1]!qryExcelSlab[#Data],5,FALSE)</f>
        <v>1</v>
      </c>
      <c r="P181" s="90">
        <f>IF(O181=0,0,VLOOKUP(20048,[1]!qryExcelSlab[#Data],4,FALSE))</f>
        <v>73</v>
      </c>
      <c r="Q181" s="49">
        <f>VLOOKUP(20068,[1]!qryExcelSlab[#Data],5,FALSE)</f>
        <v>0</v>
      </c>
      <c r="R181" s="51">
        <f>IF(Q181=0,0,VLOOKUP(20068,[1]!qryExcelSlab[#Data],4,FALSE))</f>
        <v>0</v>
      </c>
      <c r="S181" s="49">
        <f>VLOOKUP(20067,[1]!qryExcelSlab[#Data],5,FALSE)</f>
        <v>0</v>
      </c>
      <c r="T181" s="57" t="s">
        <v>24</v>
      </c>
    </row>
    <row r="182" spans="1:42" s="3" customFormat="1" ht="18" customHeight="1" x14ac:dyDescent="0.25">
      <c r="A182" s="28"/>
      <c r="B182" s="73"/>
      <c r="C182" s="74"/>
      <c r="D182" s="75"/>
      <c r="E182" s="76"/>
      <c r="F182" s="103"/>
      <c r="G182" s="78"/>
      <c r="H182" s="79"/>
      <c r="I182" s="80"/>
      <c r="J182" s="81"/>
      <c r="K182" s="95"/>
      <c r="L182" s="83"/>
      <c r="M182" s="78"/>
      <c r="N182" s="104"/>
      <c r="O182" s="78"/>
      <c r="P182" s="83"/>
      <c r="Q182" s="78"/>
      <c r="R182" s="81"/>
      <c r="S182" s="80"/>
      <c r="T182" s="86"/>
    </row>
    <row r="183" spans="1:42" s="173" customFormat="1" ht="18" customHeight="1" x14ac:dyDescent="0.25">
      <c r="A183" s="43" t="s">
        <v>187</v>
      </c>
      <c r="B183" s="44" t="s">
        <v>188</v>
      </c>
      <c r="C183" s="45"/>
      <c r="D183" s="46" t="s">
        <v>189</v>
      </c>
      <c r="E183" s="92" t="s">
        <v>103</v>
      </c>
      <c r="F183" s="96">
        <v>2</v>
      </c>
      <c r="G183" s="49">
        <f>VLOOKUP(23563,[1]!qryExcelSlab[#Data],5,FALSE)</f>
        <v>0</v>
      </c>
      <c r="H183" s="50">
        <f>IF(G183=0,0,VLOOKUP(23563,[1]!qryExcelSlab[#Data],4,FALSE))</f>
        <v>0</v>
      </c>
      <c r="I183" s="49">
        <f>VLOOKUP(18864,[1]!qryExcelSlab[#Data],5,FALSE)</f>
        <v>8</v>
      </c>
      <c r="J183" s="51">
        <f>IF(I183=0,0,VLOOKUP(18864,[1]!qryExcelSlab[#Data],4,FALSE))</f>
        <v>30</v>
      </c>
      <c r="K183" s="52">
        <f>VLOOKUP(19653,[1]!qryExcelSlab[#Data],5,FALSE)</f>
        <v>45</v>
      </c>
      <c r="L183" s="90">
        <f>IF(K183=0,0,VLOOKUP(19653,[1]!qryExcelSlab[#Data],4,FALSE))</f>
        <v>39</v>
      </c>
      <c r="M183" s="49">
        <f>VLOOKUP(18865,[1]!qryExcelSlab[#Data],5,FALSE)</f>
        <v>9</v>
      </c>
      <c r="N183" s="97">
        <f>IF(M183=0,0,VLOOKUP(18865,[1]!qryExcelSlab[#Data],4,FALSE))</f>
        <v>53</v>
      </c>
      <c r="O183" s="49">
        <f>VLOOKUP(18867,[1]!qryExcelSlab[#Data],5,FALSE)</f>
        <v>2</v>
      </c>
      <c r="P183" s="51">
        <f>IF(O183=0,0,VLOOKUP(18867,[1]!qryExcelSlab[#Data],4,FALSE))</f>
        <v>63</v>
      </c>
      <c r="Q183" s="49"/>
      <c r="R183" s="51" t="s">
        <v>3</v>
      </c>
      <c r="S183" s="49">
        <f>VLOOKUP(18868,[1]!qryExcelSlab[#Data],5,FALSE)</f>
        <v>0</v>
      </c>
      <c r="T183" s="99" t="s">
        <v>24</v>
      </c>
      <c r="U183" s="137" t="s">
        <v>3</v>
      </c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1:42" s="3" customFormat="1" ht="18" customHeight="1" x14ac:dyDescent="0.25">
      <c r="A184" s="28"/>
      <c r="B184" s="73"/>
      <c r="C184" s="74"/>
      <c r="D184" s="75"/>
      <c r="E184" s="76"/>
      <c r="F184" s="103"/>
      <c r="G184" s="78"/>
      <c r="H184" s="79"/>
      <c r="I184" s="80"/>
      <c r="J184" s="81"/>
      <c r="K184" s="95"/>
      <c r="L184" s="83"/>
      <c r="M184" s="78"/>
      <c r="N184" s="104"/>
      <c r="O184" s="78"/>
      <c r="P184" s="83"/>
      <c r="Q184" s="78"/>
      <c r="R184" s="81"/>
      <c r="S184" s="80"/>
      <c r="T184" s="86"/>
    </row>
    <row r="185" spans="1:42" s="3" customFormat="1" ht="18" customHeight="1" x14ac:dyDescent="0.25">
      <c r="A185" s="43" t="s">
        <v>190</v>
      </c>
      <c r="B185" s="44" t="s">
        <v>191</v>
      </c>
      <c r="C185" s="45"/>
      <c r="D185" s="46" t="s">
        <v>192</v>
      </c>
      <c r="E185" s="92" t="s">
        <v>103</v>
      </c>
      <c r="F185" s="48">
        <v>3</v>
      </c>
      <c r="G185" s="49"/>
      <c r="H185" s="50"/>
      <c r="I185" s="49">
        <f>VLOOKUP(20052,[1]!qryExcelSlab[#Data],5,FALSE)</f>
        <v>0</v>
      </c>
      <c r="J185" s="51">
        <f>IF(I185=0,0,VLOOKUP(20052,[1]!qryExcelSlab[#Data],4,FALSE))</f>
        <v>0</v>
      </c>
      <c r="K185" s="52">
        <f>VLOOKUP(18870,[1]!qryExcelSlab[#Data],5,FALSE)</f>
        <v>0</v>
      </c>
      <c r="L185" s="53">
        <f>IF(K185=0,0,VLOOKUP(18870,[1]!qryExcelSlab[#Data],4,FALSE))</f>
        <v>0</v>
      </c>
      <c r="M185" s="49">
        <f>VLOOKUP(18872,[1]!qryExcelSlab[#Data],5,FALSE)</f>
        <v>0</v>
      </c>
      <c r="N185" s="54">
        <f>IF(M185=0,0,VLOOKUP(18872,[1]!qryExcelSlab[#Data],4,FALSE))</f>
        <v>0</v>
      </c>
      <c r="O185" s="49">
        <f>VLOOKUP(20051,[1]!qryExcelSlab[#Data],5,FALSE)</f>
        <v>0</v>
      </c>
      <c r="P185" s="55">
        <f>IF(O185=0,0,VLOOKUP(20051,[1]!qryExcelSlab[#Data],4,FALSE))</f>
        <v>0</v>
      </c>
      <c r="Q185" s="49">
        <f>VLOOKUP(20083,[1]!qryExcelSlab[#Data],5,FALSE)</f>
        <v>0</v>
      </c>
      <c r="R185" s="55">
        <f>IF(Q185=0,0,VLOOKUP(20083,[1]!qryExcelSlab[#Data],4,FALSE))</f>
        <v>0</v>
      </c>
      <c r="S185" s="49">
        <f>VLOOKUP(20082,[1]!qryExcelSlab[#Data],5,FALSE)</f>
        <v>0</v>
      </c>
      <c r="T185" s="57" t="s">
        <v>24</v>
      </c>
    </row>
    <row r="186" spans="1:42" s="3" customFormat="1" ht="18" customHeight="1" x14ac:dyDescent="0.25">
      <c r="A186" s="196"/>
      <c r="B186" s="159"/>
      <c r="C186" s="160"/>
      <c r="D186" s="161"/>
      <c r="E186" s="162"/>
      <c r="F186" s="343"/>
      <c r="G186" s="201"/>
      <c r="H186" s="344"/>
      <c r="I186" s="201"/>
      <c r="J186" s="200"/>
      <c r="K186" s="243"/>
      <c r="L186" s="345"/>
      <c r="M186" s="201"/>
      <c r="N186" s="346"/>
      <c r="O186" s="201"/>
      <c r="P186" s="345"/>
      <c r="Q186" s="201"/>
      <c r="R186" s="200"/>
      <c r="S186" s="198"/>
      <c r="T186" s="203"/>
    </row>
    <row r="187" spans="1:42" s="3" customFormat="1" ht="18" customHeight="1" x14ac:dyDescent="0.25">
      <c r="A187" s="347" t="s">
        <v>3</v>
      </c>
      <c r="B187" s="44" t="s">
        <v>193</v>
      </c>
      <c r="C187" s="45"/>
      <c r="D187" s="46" t="s">
        <v>176</v>
      </c>
      <c r="E187" s="92" t="s">
        <v>194</v>
      </c>
      <c r="F187" s="48" t="s">
        <v>178</v>
      </c>
      <c r="G187" s="49">
        <f>VLOOKUP(29997,[1]!qryExcelSlab[#Data],5,FALSE)</f>
        <v>36</v>
      </c>
      <c r="H187" s="50">
        <f>IF(G187=0,0,VLOOKUP(29997,[1]!qryExcelSlab[#Data],4,FALSE))</f>
        <v>17.5</v>
      </c>
      <c r="I187" s="49" t="s">
        <v>3</v>
      </c>
      <c r="J187" s="51" t="s">
        <v>3</v>
      </c>
      <c r="K187" s="52" t="s">
        <v>3</v>
      </c>
      <c r="L187" s="53" t="s">
        <v>3</v>
      </c>
      <c r="M187" s="49"/>
      <c r="N187" s="256"/>
      <c r="O187" s="49"/>
      <c r="P187" s="53"/>
      <c r="Q187" s="49"/>
      <c r="R187" s="55"/>
      <c r="S187" s="56"/>
      <c r="T187" s="57" t="s">
        <v>24</v>
      </c>
    </row>
    <row r="188" spans="1:42" s="3" customFormat="1" ht="18" customHeight="1" x14ac:dyDescent="0.25">
      <c r="A188" s="102"/>
      <c r="B188" s="73"/>
      <c r="C188" s="74"/>
      <c r="D188" s="75"/>
      <c r="E188" s="76"/>
      <c r="F188" s="103"/>
      <c r="G188" s="78"/>
      <c r="H188" s="79"/>
      <c r="I188" s="78"/>
      <c r="J188" s="81"/>
      <c r="K188" s="95"/>
      <c r="L188" s="83" t="s">
        <v>3</v>
      </c>
      <c r="M188" s="78"/>
      <c r="N188" s="104"/>
      <c r="O188" s="78"/>
      <c r="P188" s="83"/>
      <c r="Q188" s="78"/>
      <c r="R188" s="81"/>
      <c r="S188" s="80"/>
      <c r="T188" s="86"/>
    </row>
    <row r="189" spans="1:42" s="3" customFormat="1" ht="18" customHeight="1" x14ac:dyDescent="0.25">
      <c r="A189" s="43" t="s">
        <v>195</v>
      </c>
      <c r="B189" s="44" t="s">
        <v>196</v>
      </c>
      <c r="C189" s="45"/>
      <c r="D189" s="46"/>
      <c r="E189" s="92" t="s">
        <v>103</v>
      </c>
      <c r="F189" s="88">
        <v>9</v>
      </c>
      <c r="G189" s="49">
        <f>VLOOKUP(20160,[1]!qryExcelSlab[#Data],5,FALSE)</f>
        <v>3</v>
      </c>
      <c r="H189" s="50">
        <f>IF(G189=0,0,VLOOKUP(20160,[1]!qryExcelSlab[#Data],4,FALSE))</f>
        <v>17.5</v>
      </c>
      <c r="I189" s="49">
        <f>VLOOKUP(20165,[1]!qryExcelSlab[#Data],5,FALSE)</f>
        <v>14</v>
      </c>
      <c r="J189" s="51">
        <f>IF(I189=0,0,VLOOKUP(20165,[1]!qryExcelSlab[#Data],4,FALSE))</f>
        <v>83</v>
      </c>
      <c r="K189" s="52">
        <f>VLOOKUP(20164,[1]!qryExcelSlab[#Data],5,FALSE)</f>
        <v>21</v>
      </c>
      <c r="L189" s="90">
        <f>IF(K189=0,0,VLOOKUP(20164,[1]!qryExcelSlab[#Data],4,FALSE))</f>
        <v>95</v>
      </c>
      <c r="M189" s="49">
        <f>VLOOKUP(20163,[1]!qryExcelSlab[#Data],5,FALSE)</f>
        <v>13</v>
      </c>
      <c r="N189" s="91">
        <f>IF(M189=0,0,VLOOKUP(20163,[1]!qryExcelSlab[#Data],4,FALSE))</f>
        <v>109</v>
      </c>
      <c r="O189" s="49">
        <f>VLOOKUP(20162,[1]!qryExcelSlab[#Data],5,FALSE)</f>
        <v>3</v>
      </c>
      <c r="P189" s="90">
        <f>IF(O189=0,0,VLOOKUP(20162,[1]!qryExcelSlab[#Data],4,FALSE))</f>
        <v>125</v>
      </c>
      <c r="Q189" s="49">
        <f>VLOOKUP(20161,[1]!qryExcelSlab[#Data],5,FALSE)</f>
        <v>0</v>
      </c>
      <c r="R189" s="51">
        <f>IF(Q189=0,0,VLOOKUP(20161,[1]!qryExcelSlab[#Data],4,FALSE))</f>
        <v>0</v>
      </c>
      <c r="S189" s="56"/>
      <c r="T189" s="57" t="s">
        <v>24</v>
      </c>
    </row>
    <row r="190" spans="1:42" s="3" customFormat="1" ht="18" customHeight="1" x14ac:dyDescent="0.25">
      <c r="A190" s="28"/>
      <c r="B190" s="73"/>
      <c r="C190" s="74"/>
      <c r="D190" s="75"/>
      <c r="E190" s="76"/>
      <c r="F190" s="103"/>
      <c r="G190" s="78"/>
      <c r="H190" s="79"/>
      <c r="I190" s="80"/>
      <c r="J190" s="81"/>
      <c r="K190" s="82"/>
      <c r="L190" s="83"/>
      <c r="M190" s="78"/>
      <c r="N190" s="104"/>
      <c r="O190" s="78"/>
      <c r="P190" s="83"/>
      <c r="Q190" s="78"/>
      <c r="R190" s="81"/>
      <c r="S190" s="80"/>
      <c r="T190" s="86"/>
    </row>
    <row r="191" spans="1:42" s="3" customFormat="1" ht="18" customHeight="1" x14ac:dyDescent="0.25">
      <c r="A191" s="43" t="s">
        <v>197</v>
      </c>
      <c r="B191" s="44" t="s">
        <v>198</v>
      </c>
      <c r="C191" s="45"/>
      <c r="D191" s="46" t="s">
        <v>199</v>
      </c>
      <c r="E191" s="92" t="s">
        <v>103</v>
      </c>
      <c r="F191" s="96">
        <v>2</v>
      </c>
      <c r="G191" s="49">
        <f>VLOOKUP(23472,[1]!qryExcelSlab[#Data],5,FALSE)</f>
        <v>0</v>
      </c>
      <c r="H191" s="50">
        <f>IF(G191=0,0,VLOOKUP(23472,[1]!qryExcelSlab[#Data],4,FALSE))</f>
        <v>0</v>
      </c>
      <c r="I191" s="56"/>
      <c r="J191" s="51">
        <f>IF(I191=0,0,0)</f>
        <v>0</v>
      </c>
      <c r="K191" s="52">
        <f>VLOOKUP(19760,[1]!qryExcelSlab[#Data],5,FALSE)</f>
        <v>48</v>
      </c>
      <c r="L191" s="90">
        <f>IF(K191=0,0,VLOOKUP(19760,[1]!qryExcelSlab[#Data],4,FALSE))</f>
        <v>39</v>
      </c>
      <c r="M191" s="49">
        <f>VLOOKUP(18875,[1]!qryExcelSlab[#Data],5,FALSE)</f>
        <v>31</v>
      </c>
      <c r="N191" s="97">
        <f>IF(M191=0,0,VLOOKUP(18875,[1]!qryExcelSlab[#Data],4,FALSE))</f>
        <v>53</v>
      </c>
      <c r="O191" s="49">
        <f>VLOOKUP(18877,[1]!qryExcelSlab[#Data],5,FALSE)</f>
        <v>6</v>
      </c>
      <c r="P191" s="51">
        <f>IF(O191=0,0,VLOOKUP(18877,[1]!qryExcelSlab[#Data],4,FALSE))</f>
        <v>63</v>
      </c>
      <c r="Q191" s="49"/>
      <c r="R191" s="51" t="s">
        <v>200</v>
      </c>
      <c r="S191" s="56"/>
      <c r="T191" s="99" t="s">
        <v>24</v>
      </c>
    </row>
    <row r="192" spans="1:42" s="3" customFormat="1" ht="18" customHeight="1" x14ac:dyDescent="0.25">
      <c r="A192" s="28"/>
      <c r="B192" s="348"/>
      <c r="C192" s="74"/>
      <c r="D192" s="75"/>
      <c r="E192" s="76"/>
      <c r="F192" s="103"/>
      <c r="G192" s="78"/>
      <c r="H192" s="79"/>
      <c r="I192" s="80"/>
      <c r="J192" s="81"/>
      <c r="K192" s="95"/>
      <c r="L192" s="83"/>
      <c r="M192" s="78"/>
      <c r="N192" s="104"/>
      <c r="O192" s="78"/>
      <c r="P192" s="83"/>
      <c r="Q192" s="78"/>
      <c r="R192" s="81"/>
      <c r="S192" s="80"/>
      <c r="T192" s="86"/>
    </row>
    <row r="193" spans="1:20" s="3" customFormat="1" ht="18" customHeight="1" x14ac:dyDescent="0.25">
      <c r="A193" s="43" t="s">
        <v>201</v>
      </c>
      <c r="B193" s="44" t="s">
        <v>202</v>
      </c>
      <c r="C193" s="45"/>
      <c r="D193" s="46" t="s">
        <v>199</v>
      </c>
      <c r="E193" s="92" t="s">
        <v>103</v>
      </c>
      <c r="F193" s="96">
        <v>2</v>
      </c>
      <c r="G193" s="49">
        <f>VLOOKUP(23473,[1]!qryExcelSlab[#Data],5,FALSE)</f>
        <v>0</v>
      </c>
      <c r="H193" s="50">
        <f>IF(G193=0,0,VLOOKUP(23473,[1]!qryExcelSlab[#Data],4,FALSE))</f>
        <v>0</v>
      </c>
      <c r="I193" s="56"/>
      <c r="J193" s="51">
        <f>IF(I193=0,0,0)</f>
        <v>0</v>
      </c>
      <c r="K193" s="52">
        <f>VLOOKUP(19761,[1]!qryExcelSlab[#Data],5,FALSE)</f>
        <v>40</v>
      </c>
      <c r="L193" s="90">
        <f>IF(K193=0,0,VLOOKUP(19761,[1]!qryExcelSlab[#Data],4,FALSE))</f>
        <v>39</v>
      </c>
      <c r="M193" s="49">
        <f>VLOOKUP(18879,[1]!qryExcelSlab[#Data],5,FALSE)</f>
        <v>29</v>
      </c>
      <c r="N193" s="97">
        <f>IF(M193=0,0,VLOOKUP(18879,[1]!qryExcelSlab[#Data],4,FALSE))</f>
        <v>53</v>
      </c>
      <c r="O193" s="49">
        <f>VLOOKUP(18881,[1]!qryExcelSlab[#Data],5,FALSE)</f>
        <v>2</v>
      </c>
      <c r="P193" s="51">
        <f>IF(O193=0,0,VLOOKUP(18881,[1]!qryExcelSlab[#Data],4,FALSE))</f>
        <v>63</v>
      </c>
      <c r="Q193" s="49"/>
      <c r="R193" s="51" t="s">
        <v>3</v>
      </c>
      <c r="S193" s="56"/>
      <c r="T193" s="99" t="s">
        <v>24</v>
      </c>
    </row>
    <row r="194" spans="1:20" s="3" customFormat="1" ht="18" customHeight="1" x14ac:dyDescent="0.25">
      <c r="A194" s="28"/>
      <c r="B194" s="73"/>
      <c r="C194" s="74"/>
      <c r="D194" s="75"/>
      <c r="E194" s="76"/>
      <c r="F194" s="103"/>
      <c r="G194" s="78"/>
      <c r="H194" s="79"/>
      <c r="I194" s="80"/>
      <c r="J194" s="81"/>
      <c r="K194" s="82"/>
      <c r="L194" s="83"/>
      <c r="M194" s="78"/>
      <c r="N194" s="104"/>
      <c r="O194" s="78"/>
      <c r="P194" s="83"/>
      <c r="Q194" s="78"/>
      <c r="R194" s="81"/>
      <c r="S194" s="80"/>
      <c r="T194" s="86"/>
    </row>
    <row r="195" spans="1:20" s="3" customFormat="1" ht="18" customHeight="1" x14ac:dyDescent="0.25">
      <c r="A195" s="43" t="s">
        <v>203</v>
      </c>
      <c r="B195" s="73" t="s">
        <v>204</v>
      </c>
      <c r="C195" s="45"/>
      <c r="D195" s="46"/>
      <c r="E195" s="92" t="s">
        <v>205</v>
      </c>
      <c r="F195" s="48">
        <v>3</v>
      </c>
      <c r="G195" s="49">
        <f>VLOOKUP(23562,[1]!qryExcelSlab[#Data],5,FALSE)</f>
        <v>1</v>
      </c>
      <c r="H195" s="50">
        <f>IF(G195=0,0,VLOOKUP(23562,[1]!qryExcelSlab[#Data],4,FALSE))</f>
        <v>17.5</v>
      </c>
      <c r="I195" s="49">
        <f>VLOOKUP(19660,[1]!qryExcelSlab[#Data],5,FALSE)</f>
        <v>30</v>
      </c>
      <c r="J195" s="51">
        <f>IF(I195=0,0,VLOOKUP(19660,[1]!qryExcelSlab[#Data],4,FALSE))</f>
        <v>34</v>
      </c>
      <c r="K195" s="52">
        <f>VLOOKUP(18250,[1]!qryExcelSlab[#Data],5,FALSE)</f>
        <v>61</v>
      </c>
      <c r="L195" s="53">
        <f>IF(K195=0,0,VLOOKUP(18250,[1]!qryExcelSlab[#Data],4,FALSE))</f>
        <v>49</v>
      </c>
      <c r="M195" s="49">
        <f>VLOOKUP(19147,[1]!qryExcelSlab[#Data],5,FALSE)</f>
        <v>18</v>
      </c>
      <c r="N195" s="54">
        <f>IF(M195=0,0,VLOOKUP(19147,[1]!qryExcelSlab[#Data],4,FALSE))</f>
        <v>123</v>
      </c>
      <c r="O195" s="49">
        <f>VLOOKUP(18252,[1]!qryExcelSlab[#Data],5,FALSE)</f>
        <v>24</v>
      </c>
      <c r="P195" s="55">
        <f>IF(O195=0,0,VLOOKUP(18252,[1]!qryExcelSlab[#Data],4,FALSE))</f>
        <v>59</v>
      </c>
      <c r="Q195" s="49">
        <f>VLOOKUP(18253,[1]!qryExcelSlab[#Data],5,FALSE)</f>
        <v>0</v>
      </c>
      <c r="R195" s="55">
        <f>IF(Q195=0,0,VLOOKUP(18253,[1]!qryExcelSlab[#Data],4,FALSE))</f>
        <v>0</v>
      </c>
      <c r="S195" s="56">
        <f>VLOOKUP(18254,[1]!qryExcelSlab[#Data],5,FALSE)</f>
        <v>0</v>
      </c>
      <c r="T195" s="57" t="s">
        <v>24</v>
      </c>
    </row>
    <row r="196" spans="1:20" s="3" customFormat="1" ht="18" customHeight="1" x14ac:dyDescent="0.25">
      <c r="A196" s="28"/>
      <c r="B196" s="73"/>
      <c r="C196" s="74"/>
      <c r="D196" s="75"/>
      <c r="E196" s="76"/>
      <c r="F196" s="103"/>
      <c r="G196" s="78"/>
      <c r="H196" s="349"/>
      <c r="I196" s="80"/>
      <c r="J196" s="81"/>
      <c r="K196" s="82"/>
      <c r="L196" s="83"/>
      <c r="M196" s="78"/>
      <c r="N196" s="104"/>
      <c r="O196" s="78"/>
      <c r="P196" s="83"/>
      <c r="Q196" s="78"/>
      <c r="R196" s="81"/>
      <c r="S196" s="80"/>
      <c r="T196" s="86"/>
    </row>
    <row r="197" spans="1:20" s="3" customFormat="1" ht="18" customHeight="1" thickBot="1" x14ac:dyDescent="0.3">
      <c r="A197" s="43" t="s">
        <v>206</v>
      </c>
      <c r="B197" s="44" t="s">
        <v>207</v>
      </c>
      <c r="C197" s="45"/>
      <c r="D197" s="46" t="s">
        <v>199</v>
      </c>
      <c r="E197" s="92" t="s">
        <v>103</v>
      </c>
      <c r="F197" s="96">
        <v>2</v>
      </c>
      <c r="G197" s="49">
        <f>VLOOKUP(23474,[1]!qryExcelSlab[#Data],5,FALSE)</f>
        <v>0</v>
      </c>
      <c r="H197" s="50">
        <f>IF(G197=0,0,VLOOKUP(23474,[1]!qryExcelSlab[#Data],4,FALSE))</f>
        <v>0</v>
      </c>
      <c r="I197" s="56"/>
      <c r="J197" s="51" t="s">
        <v>3</v>
      </c>
      <c r="K197" s="52">
        <f>VLOOKUP(18882,[1]!qryExcelSlab[#Data],5,FALSE)</f>
        <v>33</v>
      </c>
      <c r="L197" s="90">
        <f>IF(K197=0,0,VLOOKUP(18882,[1]!qryExcelSlab[#Data],4,FALSE))</f>
        <v>39</v>
      </c>
      <c r="M197" s="212">
        <f>VLOOKUP(18966,[1]!qryExcelSlab[#Data],5,FALSE)</f>
        <v>68</v>
      </c>
      <c r="N197" s="97">
        <f>IF(M197=0,0,VLOOKUP(18966,[1]!qryExcelSlab[#Data],4,FALSE))</f>
        <v>53</v>
      </c>
      <c r="O197" s="212">
        <f>VLOOKUP(18883,[1]!qryExcelSlab[#Data],5,FALSE)</f>
        <v>52</v>
      </c>
      <c r="P197" s="51">
        <f>IF(O197=0,0,VLOOKUP(18883,[1]!qryExcelSlab[#Data],4,FALSE))</f>
        <v>63</v>
      </c>
      <c r="Q197" s="49">
        <f>VLOOKUP(18884,[1]!qryExcelSlab[#Data],5,FALSE)</f>
        <v>26</v>
      </c>
      <c r="R197" s="51">
        <f>IF(Q197=0,0,VLOOKUP(18884,[1]!qryExcelSlab[#Data],4,FALSE))</f>
        <v>68</v>
      </c>
      <c r="S197" s="49">
        <f>VLOOKUP(18885,[1]!qryExcelSlab[#Data],5,FALSE)</f>
        <v>0</v>
      </c>
      <c r="T197" s="99" t="s">
        <v>24</v>
      </c>
    </row>
    <row r="198" spans="1:20" s="3" customFormat="1" ht="18" customHeight="1" thickTop="1" thickBot="1" x14ac:dyDescent="0.3">
      <c r="A198" s="304"/>
      <c r="B198" s="73"/>
      <c r="C198" s="305"/>
      <c r="D198" s="137"/>
      <c r="E198" s="133"/>
      <c r="F198" s="220" t="s">
        <v>83</v>
      </c>
      <c r="G198" s="275" t="s">
        <v>84</v>
      </c>
      <c r="H198" s="276"/>
      <c r="I198" s="275" t="s">
        <v>6</v>
      </c>
      <c r="J198" s="283"/>
      <c r="K198" s="284" t="s">
        <v>7</v>
      </c>
      <c r="L198" s="25"/>
      <c r="M198" s="275" t="s">
        <v>8</v>
      </c>
      <c r="N198" s="283"/>
      <c r="O198" s="275" t="s">
        <v>9</v>
      </c>
      <c r="P198" s="283"/>
      <c r="Q198" s="275" t="s">
        <v>10</v>
      </c>
      <c r="R198" s="283"/>
      <c r="S198" s="27" t="s">
        <v>11</v>
      </c>
      <c r="T198" s="27"/>
    </row>
    <row r="199" spans="1:20" s="3" customFormat="1" ht="18" customHeight="1" thickTop="1" thickBot="1" x14ac:dyDescent="0.3">
      <c r="A199" s="9"/>
      <c r="B199" s="73"/>
      <c r="C199" s="305"/>
      <c r="D199" s="137"/>
      <c r="E199" s="133"/>
      <c r="G199" s="314"/>
      <c r="H199" s="4"/>
      <c r="I199" s="133"/>
      <c r="J199" s="5"/>
      <c r="K199" s="133"/>
      <c r="L199" s="4"/>
      <c r="M199" s="133"/>
      <c r="O199" s="133"/>
      <c r="P199" s="5"/>
      <c r="Q199" s="133"/>
      <c r="R199" s="5"/>
    </row>
    <row r="200" spans="1:20" s="3" customFormat="1" ht="33" thickTop="1" thickBot="1" x14ac:dyDescent="0.3">
      <c r="A200" s="217" t="s">
        <v>208</v>
      </c>
      <c r="B200" s="73"/>
      <c r="C200" s="74"/>
      <c r="D200" s="75"/>
      <c r="E200" s="76"/>
      <c r="F200" s="220" t="s">
        <v>83</v>
      </c>
      <c r="G200" s="21" t="s">
        <v>5</v>
      </c>
      <c r="H200" s="22"/>
      <c r="I200" s="23" t="s">
        <v>6</v>
      </c>
      <c r="J200" s="24"/>
      <c r="K200" s="25" t="s">
        <v>7</v>
      </c>
      <c r="L200" s="26"/>
      <c r="M200" s="27" t="s">
        <v>8</v>
      </c>
      <c r="N200" s="27"/>
      <c r="O200" s="27" t="s">
        <v>9</v>
      </c>
      <c r="P200" s="27"/>
      <c r="Q200" s="27" t="s">
        <v>10</v>
      </c>
      <c r="R200" s="27"/>
      <c r="S200" s="27" t="s">
        <v>11</v>
      </c>
      <c r="T200" s="27"/>
    </row>
    <row r="201" spans="1:20" s="3" customFormat="1" ht="32.25" thickTop="1" x14ac:dyDescent="0.25">
      <c r="A201" s="304" t="s">
        <v>12</v>
      </c>
      <c r="B201" s="76" t="s">
        <v>13</v>
      </c>
      <c r="C201" s="350" t="s">
        <v>14</v>
      </c>
      <c r="D201" s="351" t="s">
        <v>15</v>
      </c>
      <c r="E201" s="133" t="s">
        <v>16</v>
      </c>
      <c r="F201" s="352" t="s">
        <v>17</v>
      </c>
      <c r="G201" s="222" t="s">
        <v>18</v>
      </c>
      <c r="H201" s="285" t="s">
        <v>19</v>
      </c>
      <c r="I201" s="318" t="s">
        <v>18</v>
      </c>
      <c r="J201" s="319" t="s">
        <v>19</v>
      </c>
      <c r="K201" s="353" t="s">
        <v>18</v>
      </c>
      <c r="L201" s="354" t="s">
        <v>19</v>
      </c>
      <c r="M201" s="151" t="s">
        <v>18</v>
      </c>
      <c r="N201" s="355" t="s">
        <v>19</v>
      </c>
      <c r="O201" s="151" t="s">
        <v>18</v>
      </c>
      <c r="P201" s="356" t="s">
        <v>19</v>
      </c>
      <c r="Q201" s="151" t="s">
        <v>18</v>
      </c>
      <c r="R201" s="356" t="s">
        <v>19</v>
      </c>
      <c r="S201" s="357" t="s">
        <v>18</v>
      </c>
      <c r="T201" s="358" t="s">
        <v>19</v>
      </c>
    </row>
    <row r="202" spans="1:20" s="3" customFormat="1" ht="18" customHeight="1" x14ac:dyDescent="0.25">
      <c r="A202" s="43" t="s">
        <v>209</v>
      </c>
      <c r="B202" s="322" t="s">
        <v>210</v>
      </c>
      <c r="C202" s="323"/>
      <c r="D202" s="324" t="s">
        <v>211</v>
      </c>
      <c r="E202" s="325" t="s">
        <v>212</v>
      </c>
      <c r="F202" s="88">
        <v>10</v>
      </c>
      <c r="G202" s="359">
        <f>VLOOKUP(30636,[1]!qryExcelSlab[#Data],5,FALSE)</f>
        <v>1</v>
      </c>
      <c r="H202" s="89">
        <f>IF(G202=0,0,VLOOKUP(30636,[1]!qryExcelSlab[#Data],4,FALSE))</f>
        <v>59</v>
      </c>
      <c r="I202" s="49">
        <f>VLOOKUP(20924,[1]!qryExcelSlab[#Data],5,FALSE)</f>
        <v>0</v>
      </c>
      <c r="J202" s="51">
        <f>IF(I202=0,0,VLOOKUP(20924,[1]!qryExcelSlab[#Data],4,FALSE))</f>
        <v>0</v>
      </c>
      <c r="K202" s="52">
        <f>VLOOKUP(20923,[1]!qryExcelSlab[#Data],5,FALSE)</f>
        <v>2</v>
      </c>
      <c r="L202" s="90">
        <f>IF(K202=0,0,VLOOKUP(20923,[1]!qryExcelSlab[#Data],4,FALSE))</f>
        <v>108</v>
      </c>
      <c r="M202" s="49">
        <f>VLOOKUP(20922,[1]!qryExcelSlab[#Data],5,FALSE)</f>
        <v>0</v>
      </c>
      <c r="N202" s="91">
        <f>IF(M202=0,0,VLOOKUP(20922,[1]!qryExcelSlab[#Data],4,FALSE))</f>
        <v>0</v>
      </c>
      <c r="O202" s="49">
        <f>VLOOKUP(20921,[1]!qryExcelSlab[#Data],5,FALSE)</f>
        <v>0</v>
      </c>
      <c r="P202" s="90">
        <f>IF(O202=0,0,VLOOKUP(20921,[1]!qryExcelSlab[#Data],4,FALSE))</f>
        <v>0</v>
      </c>
      <c r="Q202" s="49">
        <f>VLOOKUP(20920,[1]!qryExcelSlab[#Data],5,FALSE)</f>
        <v>0</v>
      </c>
      <c r="R202" s="51">
        <f>IF(Q202=0,0,VLOOKUP(20920,[1]!qryExcelSlab[#Data],4,FALSE))</f>
        <v>0</v>
      </c>
      <c r="S202" s="238">
        <f>VLOOKUP(20919,[1]!qryExcelSlab[#Data],5,FALSE)</f>
        <v>0</v>
      </c>
      <c r="T202" s="229" t="s">
        <v>24</v>
      </c>
    </row>
    <row r="203" spans="1:20" s="3" customFormat="1" ht="18" customHeight="1" x14ac:dyDescent="0.25">
      <c r="A203" s="327"/>
      <c r="B203" s="287"/>
      <c r="C203" s="328"/>
      <c r="D203" s="329"/>
      <c r="E203" s="330"/>
      <c r="F203" s="331"/>
      <c r="G203" s="360"/>
      <c r="H203" s="332"/>
      <c r="I203" s="78"/>
      <c r="J203" s="333"/>
      <c r="K203" s="334"/>
      <c r="L203" s="335"/>
      <c r="M203" s="336"/>
      <c r="N203" s="337"/>
      <c r="O203" s="361"/>
      <c r="P203" s="335"/>
      <c r="Q203" s="336"/>
      <c r="R203" s="333"/>
      <c r="S203" s="362"/>
      <c r="T203" s="363"/>
    </row>
    <row r="204" spans="1:20" s="3" customFormat="1" ht="18" customHeight="1" x14ac:dyDescent="0.25">
      <c r="A204" s="43" t="s">
        <v>213</v>
      </c>
      <c r="B204" s="322" t="s">
        <v>214</v>
      </c>
      <c r="C204" s="323"/>
      <c r="D204" s="324" t="s">
        <v>215</v>
      </c>
      <c r="E204" s="325" t="s">
        <v>212</v>
      </c>
      <c r="F204" s="88">
        <v>5</v>
      </c>
      <c r="G204" s="49">
        <f>VLOOKUP(30501,[1]!qryExcelSlab[#Data],5,FALSE)</f>
        <v>3</v>
      </c>
      <c r="H204" s="89">
        <f>IF(G204=0,0,VLOOKUP(30501,[1]!qryExcelSlab[#Data],4,FALSE))</f>
        <v>17.5</v>
      </c>
      <c r="I204" s="49">
        <f>VLOOKUP(20930,[1]!qryExcelSlab[#Data],5,FALSE)</f>
        <v>2</v>
      </c>
      <c r="J204" s="51">
        <f>IF(I204=0,0,VLOOKUP(20930,[1]!qryExcelSlab[#Data],4,FALSE))</f>
        <v>47</v>
      </c>
      <c r="K204" s="52">
        <f>VLOOKUP(20929,[1]!qryExcelSlab[#Data],5,FALSE)</f>
        <v>10</v>
      </c>
      <c r="L204" s="90">
        <f>IF(K204=0,0,VLOOKUP(20929,[1]!qryExcelSlab[#Data],4,FALSE))</f>
        <v>57</v>
      </c>
      <c r="M204" s="49">
        <f>VLOOKUP(20928,[1]!qryExcelSlab[#Data],5,FALSE)</f>
        <v>2</v>
      </c>
      <c r="N204" s="91">
        <f>IF(M204=0,0,VLOOKUP(20928,[1]!qryExcelSlab[#Data],4,FALSE))</f>
        <v>67</v>
      </c>
      <c r="O204" s="49">
        <f>VLOOKUP(20927,[1]!qryExcelSlab[#Data],5,FALSE)</f>
        <v>0</v>
      </c>
      <c r="P204" s="90">
        <f>IF(O204=0,0,VLOOKUP(20927,[1]!qryExcelSlab[#Data],4,FALSE))</f>
        <v>0</v>
      </c>
      <c r="Q204" s="49">
        <f>VLOOKUP(20926,[1]!qryExcelSlab[#Data],5,FALSE)</f>
        <v>0</v>
      </c>
      <c r="R204" s="51">
        <f>IF(Q204=0,0,VLOOKUP(20926,[1]!qryExcelSlab[#Data],4,FALSE))</f>
        <v>0</v>
      </c>
      <c r="S204" s="238">
        <f>VLOOKUP(20925,[1]!qryExcelSlab[#Data],5,FALSE)</f>
        <v>0</v>
      </c>
      <c r="T204" s="229" t="s">
        <v>24</v>
      </c>
    </row>
    <row r="205" spans="1:20" s="3" customFormat="1" ht="18" customHeight="1" x14ac:dyDescent="0.25">
      <c r="A205" s="327"/>
      <c r="B205" s="287"/>
      <c r="C205" s="328"/>
      <c r="D205" s="329"/>
      <c r="E205" s="330"/>
      <c r="F205" s="331"/>
      <c r="G205" s="360"/>
      <c r="H205" s="332"/>
      <c r="I205" s="78"/>
      <c r="J205" s="333"/>
      <c r="K205" s="334"/>
      <c r="L205" s="335"/>
      <c r="M205" s="336"/>
      <c r="N205" s="337"/>
      <c r="O205" s="336"/>
      <c r="P205" s="335"/>
      <c r="Q205" s="336"/>
      <c r="R205" s="333"/>
      <c r="S205" s="362"/>
      <c r="T205" s="363"/>
    </row>
    <row r="206" spans="1:20" s="3" customFormat="1" ht="18" customHeight="1" x14ac:dyDescent="0.25">
      <c r="A206" s="364" t="s">
        <v>113</v>
      </c>
      <c r="B206" s="322" t="s">
        <v>216</v>
      </c>
      <c r="C206" s="365"/>
      <c r="D206" s="366" t="s">
        <v>217</v>
      </c>
      <c r="E206" s="367" t="s">
        <v>95</v>
      </c>
      <c r="F206" s="368">
        <v>5</v>
      </c>
      <c r="G206" s="112">
        <f>VLOOKUP(20931,[1]!qryExcelSlab[#Data],5,FALSE)</f>
        <v>0</v>
      </c>
      <c r="H206" s="50">
        <f>IF(G206=0,0,VLOOKUP(20931,[1]!qryExcelSlab[#Data],4,FALSE))</f>
        <v>0</v>
      </c>
      <c r="I206" s="112">
        <f>VLOOKUP(20936,[1]!qryExcelSlab[#Data],5,FALSE)</f>
        <v>4</v>
      </c>
      <c r="J206" s="113">
        <f>IF(I206=0,0,VLOOKUP(20936,[1]!qryExcelSlab[#Data],4,FALSE))</f>
        <v>47</v>
      </c>
      <c r="K206" s="114">
        <f>VLOOKUP(20935,[1]!qryExcelSlab[#Data],5,FALSE)</f>
        <v>20</v>
      </c>
      <c r="L206" s="115">
        <f>IF(K206=0,0,VLOOKUP(20935,[1]!qryExcelSlab[#Data],4,FALSE))</f>
        <v>57</v>
      </c>
      <c r="M206" s="112">
        <f>VLOOKUP(20934,[1]!qryExcelSlab[#Data],5,FALSE)</f>
        <v>0</v>
      </c>
      <c r="N206" s="369">
        <f>IF(M206=0,0,VLOOKUP(20934,[1]!qryExcelSlab[#Data],4,FALSE))</f>
        <v>0</v>
      </c>
      <c r="O206" s="112">
        <f>VLOOKUP(20933,[1]!qryExcelSlab[#Data],5,FALSE)</f>
        <v>0</v>
      </c>
      <c r="P206" s="115">
        <f>IF(O206=0,0,VLOOKUP(20933,[1]!qryExcelSlab[#Data],4,FALSE))</f>
        <v>0</v>
      </c>
      <c r="Q206" s="112">
        <f>VLOOKUP(20932,[1]!qryExcelSlab[#Data],5,FALSE)</f>
        <v>0</v>
      </c>
      <c r="R206" s="113">
        <f>IF(Q206=0,0,VLOOKUP(20932,[1]!qryExcelSlab[#Data],4,FALSE))</f>
        <v>0</v>
      </c>
      <c r="S206" s="370"/>
      <c r="T206" s="371" t="s">
        <v>24</v>
      </c>
    </row>
    <row r="207" spans="1:20" s="3" customFormat="1" ht="18" customHeight="1" x14ac:dyDescent="0.25">
      <c r="A207" s="327"/>
      <c r="B207" s="287"/>
      <c r="C207" s="328"/>
      <c r="D207" s="329"/>
      <c r="E207" s="330"/>
      <c r="F207" s="103"/>
      <c r="G207" s="372"/>
      <c r="H207" s="373"/>
      <c r="I207" s="374"/>
      <c r="J207" s="81"/>
      <c r="K207" s="95"/>
      <c r="L207" s="83"/>
      <c r="M207" s="374"/>
      <c r="N207" s="104"/>
      <c r="O207" s="374"/>
      <c r="P207" s="83"/>
      <c r="Q207" s="372"/>
      <c r="R207" s="81"/>
      <c r="S207" s="375"/>
      <c r="T207" s="231"/>
    </row>
    <row r="208" spans="1:20" s="3" customFormat="1" ht="18" customHeight="1" x14ac:dyDescent="0.25">
      <c r="A208" s="364" t="s">
        <v>218</v>
      </c>
      <c r="B208" s="322" t="s">
        <v>219</v>
      </c>
      <c r="C208" s="365"/>
      <c r="D208" s="366" t="s">
        <v>220</v>
      </c>
      <c r="E208" s="367" t="s">
        <v>95</v>
      </c>
      <c r="F208" s="88">
        <v>10</v>
      </c>
      <c r="G208" s="56"/>
      <c r="H208" s="89"/>
      <c r="I208" s="49">
        <f>VLOOKUP(22604,[1]!qryExcelSlab[#Data],5,FALSE)</f>
        <v>0</v>
      </c>
      <c r="J208" s="51">
        <f>IF(I208=0,0,VLOOKUP(22604,[1]!qryExcelSlab[#Data],4,FALSE))</f>
        <v>0</v>
      </c>
      <c r="K208" s="52">
        <f>VLOOKUP(22603,[1]!qryExcelSlab[#Data],5,FALSE)</f>
        <v>0</v>
      </c>
      <c r="L208" s="90">
        <f>IF(K208=0,0,VLOOKUP(22603,[1]!qryExcelSlab[#Data],4,FALSE))</f>
        <v>0</v>
      </c>
      <c r="M208" s="49"/>
      <c r="N208" s="91" t="s">
        <v>3</v>
      </c>
      <c r="O208" s="49"/>
      <c r="P208" s="90" t="s">
        <v>3</v>
      </c>
      <c r="Q208" s="49"/>
      <c r="R208" s="51" t="s">
        <v>3</v>
      </c>
      <c r="S208" s="238"/>
      <c r="T208" s="229" t="s">
        <v>24</v>
      </c>
    </row>
    <row r="209" spans="1:21" s="3" customFormat="1" ht="18" customHeight="1" x14ac:dyDescent="0.25">
      <c r="A209" s="327"/>
      <c r="B209" s="287"/>
      <c r="C209" s="328"/>
      <c r="D209" s="329"/>
      <c r="E209" s="330"/>
      <c r="F209" s="103"/>
      <c r="G209" s="372"/>
      <c r="H209" s="373"/>
      <c r="I209" s="374"/>
      <c r="J209" s="81"/>
      <c r="K209" s="95"/>
      <c r="L209" s="83"/>
      <c r="M209" s="374"/>
      <c r="N209" s="104"/>
      <c r="O209" s="374"/>
      <c r="P209" s="83"/>
      <c r="Q209" s="372"/>
      <c r="R209" s="81"/>
      <c r="S209" s="375"/>
      <c r="T209" s="231"/>
    </row>
    <row r="210" spans="1:21" s="3" customFormat="1" ht="18" customHeight="1" x14ac:dyDescent="0.25">
      <c r="A210" s="43" t="s">
        <v>3</v>
      </c>
      <c r="B210" s="322" t="s">
        <v>221</v>
      </c>
      <c r="C210" s="323"/>
      <c r="D210" s="324" t="s">
        <v>222</v>
      </c>
      <c r="E210" s="325" t="s">
        <v>31</v>
      </c>
      <c r="F210" s="88">
        <v>10</v>
      </c>
      <c r="G210" s="56"/>
      <c r="H210" s="89"/>
      <c r="I210" s="49">
        <f>VLOOKUP(20895,[1]!qryExcelSlab[#Data],5,FALSE)</f>
        <v>0</v>
      </c>
      <c r="J210" s="51">
        <f>IF(I210=0,0,VLOOKUP(20895,[1]!qryExcelSlab[#Data],4,FALSE))</f>
        <v>0</v>
      </c>
      <c r="K210" s="52">
        <f>VLOOKUP(20894,[1]!qryExcelSlab[#Data],5,FALSE)</f>
        <v>0</v>
      </c>
      <c r="L210" s="90">
        <f>IF(K210=0,0,VLOOKUP(20894,[1]!qryExcelSlab[#Data],4,FALSE))</f>
        <v>0</v>
      </c>
      <c r="M210" s="49">
        <f>VLOOKUP(20893,[1]!qryExcelSlab[#Data],5,FALSE)</f>
        <v>0</v>
      </c>
      <c r="N210" s="91">
        <f>IF(M210=0,0,VLOOKUP(20893,[1]!qryExcelSlab[#Data],4,FALSE))</f>
        <v>0</v>
      </c>
      <c r="O210" s="49">
        <f>VLOOKUP(20892,[1]!qryExcelSlab[#Data],5,FALSE)</f>
        <v>0</v>
      </c>
      <c r="P210" s="90">
        <f>IF(O210=0,0,VLOOKUP(20892,[1]!qryExcelSlab[#Data],4,FALSE))</f>
        <v>0</v>
      </c>
      <c r="Q210" s="49">
        <f>VLOOKUP(20891,[1]!qryExcelSlab[#Data],5,FALSE)</f>
        <v>0</v>
      </c>
      <c r="R210" s="51">
        <f>IF(Q210=0,0,VLOOKUP(20891,[1]!qryExcelSlab[#Data],4,FALSE))</f>
        <v>0</v>
      </c>
      <c r="S210" s="238">
        <f>VLOOKUP(20896,[1]!qryExcelSlab[#Data],5,FALSE)</f>
        <v>0</v>
      </c>
      <c r="T210" s="229" t="s">
        <v>24</v>
      </c>
    </row>
    <row r="211" spans="1:21" s="3" customFormat="1" ht="18" customHeight="1" x14ac:dyDescent="0.25">
      <c r="A211" s="43" t="s">
        <v>223</v>
      </c>
      <c r="B211" s="322" t="s">
        <v>224</v>
      </c>
      <c r="C211" s="323"/>
      <c r="D211" s="324" t="s">
        <v>225</v>
      </c>
      <c r="E211" s="325" t="s">
        <v>40</v>
      </c>
      <c r="F211" s="88">
        <v>5</v>
      </c>
      <c r="G211" s="56"/>
      <c r="H211" s="89"/>
      <c r="I211" s="49">
        <f>VLOOKUP(20902,[1]!qryExcelSlab[#Data],5,FALSE)</f>
        <v>4</v>
      </c>
      <c r="J211" s="51">
        <f>IF(I211=0,0,VLOOKUP(20902,[1]!qryExcelSlab[#Data],4,FALSE))</f>
        <v>47</v>
      </c>
      <c r="K211" s="52">
        <f>VLOOKUP(20901,[1]!qryExcelSlab[#Data],5,FALSE)</f>
        <v>10</v>
      </c>
      <c r="L211" s="90">
        <f>IF(K211=0,0,VLOOKUP(20901,[1]!qryExcelSlab[#Data],4,FALSE))</f>
        <v>57</v>
      </c>
      <c r="M211" s="49">
        <f>VLOOKUP(20900,[1]!qryExcelSlab[#Data],5,FALSE)</f>
        <v>0</v>
      </c>
      <c r="N211" s="91">
        <f>IF(M211=0,0,VLOOKUP(20900,[1]!qryExcelSlab[#Data],4,FALSE))</f>
        <v>0</v>
      </c>
      <c r="O211" s="49">
        <f>VLOOKUP(20899,[1]!qryExcelSlab[#Data],5,FALSE)</f>
        <v>0</v>
      </c>
      <c r="P211" s="90">
        <f>IF(O211=0,0,VLOOKUP(20899,[1]!qryExcelSlab[#Data],4,FALSE))</f>
        <v>0</v>
      </c>
      <c r="Q211" s="49">
        <f>VLOOKUP(20898,[1]!qryExcelSlab[#Data],5,FALSE)</f>
        <v>0</v>
      </c>
      <c r="R211" s="51">
        <f>IF(Q211=0,0,VLOOKUP(20898,[1]!qryExcelSlab[#Data],4,FALSE))</f>
        <v>0</v>
      </c>
      <c r="S211" s="238">
        <f>VLOOKUP(20897,[1]!qryExcelSlab[#Data],5,FALSE)</f>
        <v>0</v>
      </c>
      <c r="T211" s="229" t="s">
        <v>24</v>
      </c>
    </row>
    <row r="212" spans="1:21" s="3" customFormat="1" ht="18" customHeight="1" x14ac:dyDescent="0.25">
      <c r="A212" s="376"/>
      <c r="B212" s="287"/>
      <c r="C212" s="377"/>
      <c r="D212" s="329"/>
      <c r="E212" s="378"/>
      <c r="F212" s="185"/>
      <c r="G212" s="379"/>
      <c r="H212" s="187"/>
      <c r="I212" s="186"/>
      <c r="J212" s="380"/>
      <c r="K212" s="381"/>
      <c r="L212" s="382"/>
      <c r="M212" s="383"/>
      <c r="N212" s="384"/>
      <c r="O212" s="383"/>
      <c r="P212" s="382"/>
      <c r="Q212" s="385"/>
      <c r="R212" s="386"/>
      <c r="S212" s="387"/>
      <c r="T212" s="388"/>
    </row>
    <row r="213" spans="1:21" s="3" customFormat="1" ht="18" customHeight="1" x14ac:dyDescent="0.25">
      <c r="A213" s="43" t="s">
        <v>226</v>
      </c>
      <c r="B213" s="322" t="s">
        <v>227</v>
      </c>
      <c r="C213" s="365"/>
      <c r="D213" s="324" t="s">
        <v>228</v>
      </c>
      <c r="E213" s="389" t="s">
        <v>31</v>
      </c>
      <c r="F213" s="88">
        <v>8</v>
      </c>
      <c r="G213" s="56"/>
      <c r="H213" s="89"/>
      <c r="I213" s="49">
        <f>VLOOKUP(22613,[1]!qryExcelSlab[#Data],5,FALSE)</f>
        <v>5</v>
      </c>
      <c r="J213" s="51">
        <f>IF(I213=0,0,VLOOKUP(22613,[1]!qryExcelSlab[#Data],4,FALSE))</f>
        <v>78</v>
      </c>
      <c r="K213" s="52">
        <f>VLOOKUP(30367,[1]!qryExcelSlab[#Data],5,FALSE)</f>
        <v>0</v>
      </c>
      <c r="L213" s="90">
        <f>IF(K213=0,0,VLOOKUP(30367,[1]!qryExcelSlab[#Data],4,FALSE))</f>
        <v>0</v>
      </c>
      <c r="M213" s="49"/>
      <c r="N213" s="91" t="s">
        <v>3</v>
      </c>
      <c r="O213" s="49"/>
      <c r="P213" s="90" t="s">
        <v>3</v>
      </c>
      <c r="Q213" s="49"/>
      <c r="R213" s="51" t="s">
        <v>3</v>
      </c>
      <c r="S213" s="49"/>
      <c r="T213" s="57" t="s">
        <v>24</v>
      </c>
    </row>
    <row r="214" spans="1:21" s="3" customFormat="1" ht="18" customHeight="1" x14ac:dyDescent="0.25">
      <c r="A214" s="327"/>
      <c r="B214" s="287"/>
      <c r="C214" s="328"/>
      <c r="D214" s="329"/>
      <c r="E214" s="330"/>
      <c r="F214" s="103"/>
      <c r="G214" s="372"/>
      <c r="H214" s="373"/>
      <c r="I214" s="374"/>
      <c r="J214" s="81"/>
      <c r="K214" s="95"/>
      <c r="L214" s="83"/>
      <c r="M214" s="374"/>
      <c r="N214" s="104"/>
      <c r="O214" s="374"/>
      <c r="P214" s="83"/>
      <c r="Q214" s="372"/>
      <c r="R214" s="81"/>
      <c r="S214" s="375"/>
      <c r="T214" s="231"/>
    </row>
    <row r="215" spans="1:21" s="3" customFormat="1" ht="18" customHeight="1" thickBot="1" x14ac:dyDescent="0.3">
      <c r="A215" s="98" t="s">
        <v>3</v>
      </c>
      <c r="B215" s="73" t="s">
        <v>229</v>
      </c>
      <c r="C215" s="45"/>
      <c r="D215" s="46" t="s">
        <v>230</v>
      </c>
      <c r="E215" s="92" t="s">
        <v>205</v>
      </c>
      <c r="F215" s="88">
        <v>13</v>
      </c>
      <c r="G215" s="49">
        <f>VLOOKUP(30384,[1]!qryExcelSlab[#Data],5,FALSE)</f>
        <v>0</v>
      </c>
      <c r="H215" s="89">
        <f>IF(G215=0,0,VLOOKUP(30384,[1]!qryExcelSlab[#Data],4,FALSE))</f>
        <v>0</v>
      </c>
      <c r="I215" s="49"/>
      <c r="J215" s="51">
        <f>IF(I215=0,0,10)</f>
        <v>0</v>
      </c>
      <c r="K215" s="52">
        <f>VLOOKUP(30368,[1]!qryExcelSlab[#Data],5,FALSE)</f>
        <v>0</v>
      </c>
      <c r="L215" s="90">
        <f>IF(K215=0,0,VLOOKUP(30368,[1]!qryExcelSlab[#Data],4,FALSE))</f>
        <v>0</v>
      </c>
      <c r="M215" s="49"/>
      <c r="N215" s="91" t="s">
        <v>3</v>
      </c>
      <c r="O215" s="49"/>
      <c r="P215" s="90" t="s">
        <v>3</v>
      </c>
      <c r="Q215" s="49"/>
      <c r="R215" s="51" t="s">
        <v>3</v>
      </c>
      <c r="S215" s="342"/>
      <c r="T215" s="57" t="s">
        <v>24</v>
      </c>
    </row>
    <row r="216" spans="1:21" s="3" customFormat="1" ht="18" customHeight="1" thickTop="1" thickBot="1" x14ac:dyDescent="0.3">
      <c r="A216" s="390"/>
      <c r="B216" s="73"/>
      <c r="C216" s="391"/>
      <c r="D216" s="392"/>
      <c r="E216" s="393"/>
      <c r="F216" s="220" t="s">
        <v>83</v>
      </c>
      <c r="G216" s="275" t="s">
        <v>84</v>
      </c>
      <c r="H216" s="276"/>
      <c r="I216" s="23" t="s">
        <v>6</v>
      </c>
      <c r="J216" s="24"/>
      <c r="K216" s="25" t="s">
        <v>7</v>
      </c>
      <c r="L216" s="26"/>
      <c r="M216" s="27" t="s">
        <v>8</v>
      </c>
      <c r="N216" s="27"/>
      <c r="O216" s="27" t="s">
        <v>9</v>
      </c>
      <c r="P216" s="27"/>
      <c r="Q216" s="27" t="s">
        <v>10</v>
      </c>
      <c r="R216" s="27"/>
      <c r="S216" s="27" t="s">
        <v>11</v>
      </c>
      <c r="T216" s="27"/>
    </row>
    <row r="217" spans="1:21" s="3" customFormat="1" ht="18" customHeight="1" thickTop="1" thickBot="1" x14ac:dyDescent="0.3">
      <c r="A217" s="394"/>
      <c r="B217" s="287"/>
      <c r="C217" s="11"/>
      <c r="E217" s="12"/>
      <c r="F217" s="12"/>
      <c r="G217" s="395"/>
      <c r="H217" s="4"/>
      <c r="I217" s="396"/>
      <c r="J217" s="397"/>
      <c r="K217" s="398"/>
      <c r="L217" s="397"/>
      <c r="P217" s="5"/>
      <c r="R217" s="5"/>
    </row>
    <row r="218" spans="1:21" s="3" customFormat="1" ht="33" thickTop="1" thickBot="1" x14ac:dyDescent="0.3">
      <c r="A218" s="217" t="s">
        <v>231</v>
      </c>
      <c r="B218" s="73"/>
      <c r="C218" s="74"/>
      <c r="D218" s="75"/>
      <c r="E218" s="219"/>
      <c r="F218" s="220" t="s">
        <v>83</v>
      </c>
      <c r="G218" s="21" t="s">
        <v>5</v>
      </c>
      <c r="H218" s="22"/>
      <c r="I218" s="275" t="s">
        <v>6</v>
      </c>
      <c r="J218" s="283"/>
      <c r="K218" s="284" t="s">
        <v>7</v>
      </c>
      <c r="L218" s="25"/>
      <c r="M218" s="275" t="s">
        <v>8</v>
      </c>
      <c r="N218" s="283"/>
      <c r="O218" s="275" t="s">
        <v>9</v>
      </c>
      <c r="P218" s="283"/>
      <c r="Q218" s="275" t="s">
        <v>10</v>
      </c>
      <c r="R218" s="283"/>
      <c r="S218" s="27" t="s">
        <v>11</v>
      </c>
      <c r="T218" s="27"/>
    </row>
    <row r="219" spans="1:21" s="3" customFormat="1" ht="32.25" thickTop="1" x14ac:dyDescent="0.25">
      <c r="A219" s="28" t="s">
        <v>12</v>
      </c>
      <c r="B219" s="76" t="s">
        <v>13</v>
      </c>
      <c r="C219" s="315" t="s">
        <v>14</v>
      </c>
      <c r="D219" s="316" t="s">
        <v>15</v>
      </c>
      <c r="E219" s="19" t="s">
        <v>16</v>
      </c>
      <c r="F219" s="317" t="s">
        <v>17</v>
      </c>
      <c r="G219" s="222" t="s">
        <v>18</v>
      </c>
      <c r="H219" s="285" t="s">
        <v>19</v>
      </c>
      <c r="I219" s="318" t="s">
        <v>18</v>
      </c>
      <c r="J219" s="319" t="s">
        <v>19</v>
      </c>
      <c r="K219" s="320" t="s">
        <v>18</v>
      </c>
      <c r="L219" s="321" t="s">
        <v>19</v>
      </c>
      <c r="M219" s="153" t="s">
        <v>18</v>
      </c>
      <c r="N219" s="155" t="s">
        <v>19</v>
      </c>
      <c r="O219" s="153" t="s">
        <v>18</v>
      </c>
      <c r="P219" s="154" t="s">
        <v>19</v>
      </c>
      <c r="Q219" s="153" t="s">
        <v>18</v>
      </c>
      <c r="R219" s="154" t="s">
        <v>19</v>
      </c>
      <c r="S219" s="153" t="s">
        <v>18</v>
      </c>
      <c r="T219" s="156" t="s">
        <v>19</v>
      </c>
      <c r="U219" s="3" t="s">
        <v>3</v>
      </c>
    </row>
    <row r="220" spans="1:21" s="3" customFormat="1" ht="18" customHeight="1" x14ac:dyDescent="0.25">
      <c r="A220" s="43" t="s">
        <v>3</v>
      </c>
      <c r="B220" s="44" t="s">
        <v>232</v>
      </c>
      <c r="C220" s="45"/>
      <c r="D220" s="399" t="s">
        <v>233</v>
      </c>
      <c r="E220" s="92" t="s">
        <v>234</v>
      </c>
      <c r="F220" s="88">
        <v>14</v>
      </c>
      <c r="G220" s="49">
        <f>VLOOKUP(23780,[1]!qryExcelSlab[#Data],5,FALSE)</f>
        <v>0</v>
      </c>
      <c r="H220" s="89">
        <f>VLOOKUP(23780,[1]!qryExcelSlab[#Data],4,FALSE)</f>
        <v>0</v>
      </c>
      <c r="I220" s="49">
        <f>VLOOKUP(22367,[1]!qryExcelSlab[#Data],5,FALSE)</f>
        <v>0</v>
      </c>
      <c r="J220" s="51">
        <f>IF(I220=0,0,VLOOKUP(22367,[1]!qryExcelSlab[#Data],4,FALSE))</f>
        <v>0</v>
      </c>
      <c r="K220" s="52">
        <f>VLOOKUP(22366,[1]!qryExcelSlab[#Data],5,FALSE)</f>
        <v>0</v>
      </c>
      <c r="L220" s="90">
        <f>IF(K220=0,0,VLOOKUP(22366,[1]!qryExcelSlab[#Data],4,FALSE))</f>
        <v>0</v>
      </c>
      <c r="M220" s="49">
        <f>VLOOKUP(22365,[1]!qryExcelSlab[#Data],5,FALSE)</f>
        <v>0</v>
      </c>
      <c r="N220" s="91">
        <f>IF(M220=0,0,VLOOKUP(22365,[1]!qryExcelSlab[#Data],4,FALSE))</f>
        <v>0</v>
      </c>
      <c r="O220" s="49">
        <f>VLOOKUP(22364,[1]!qryExcelSlab[#Data],5,FALSE)</f>
        <v>0</v>
      </c>
      <c r="P220" s="90">
        <f>IF(O220=0,0,VLOOKUP(22364,[1]!qryExcelSlab[#Data],4,FALSE))</f>
        <v>0</v>
      </c>
      <c r="Q220" s="49">
        <f>VLOOKUP(22363,[1]!qryExcelSlab[#Data],5,FALSE)</f>
        <v>0</v>
      </c>
      <c r="R220" s="51">
        <f>IF(Q220=0,0,VLOOKUP(22363,[1]!qryExcelSlab[#Data],4,FALSE))</f>
        <v>0</v>
      </c>
      <c r="S220" s="49">
        <f>VLOOKUP(22362,[1]!qryExcelSlab[#Data],5,FALSE)</f>
        <v>0</v>
      </c>
      <c r="T220" s="57" t="s">
        <v>24</v>
      </c>
    </row>
    <row r="221" spans="1:21" s="3" customFormat="1" ht="18" customHeight="1" x14ac:dyDescent="0.25">
      <c r="A221" s="28"/>
      <c r="B221" s="73"/>
      <c r="C221" s="74"/>
      <c r="D221" s="75"/>
      <c r="E221" s="76"/>
      <c r="F221" s="103"/>
      <c r="G221" s="80"/>
      <c r="H221" s="79"/>
      <c r="I221" s="78"/>
      <c r="J221" s="81"/>
      <c r="K221" s="95"/>
      <c r="L221" s="83"/>
      <c r="M221" s="78"/>
      <c r="N221" s="104"/>
      <c r="O221" s="78"/>
      <c r="P221" s="83"/>
      <c r="Q221" s="78"/>
      <c r="R221" s="81"/>
      <c r="S221" s="78"/>
      <c r="T221" s="86"/>
    </row>
    <row r="222" spans="1:21" s="3" customFormat="1" ht="18" customHeight="1" x14ac:dyDescent="0.25">
      <c r="A222" s="43" t="s">
        <v>3</v>
      </c>
      <c r="B222" s="44" t="s">
        <v>235</v>
      </c>
      <c r="C222" s="45"/>
      <c r="D222" s="46"/>
      <c r="E222" s="92" t="s">
        <v>236</v>
      </c>
      <c r="F222" s="88">
        <v>14</v>
      </c>
      <c r="G222" s="56"/>
      <c r="H222" s="89"/>
      <c r="I222" s="49">
        <f>VLOOKUP(22373,[1]!qryExcelSlab[#Data],5,FALSE)</f>
        <v>0</v>
      </c>
      <c r="J222" s="51">
        <f>IF(I222=0,0,VLOOKUP(22373,[1]!qryExcelSlab[#Data],4,FALSE))</f>
        <v>0</v>
      </c>
      <c r="K222" s="52">
        <f>VLOOKUP(22372,[1]!qryExcelSlab[#Data],5,FALSE)</f>
        <v>0</v>
      </c>
      <c r="L222" s="90">
        <f>IF(K222=0,0,VLOOKUP(22372,[1]!qryExcelSlab[#Data],4,FALSE))</f>
        <v>0</v>
      </c>
      <c r="M222" s="49">
        <f>VLOOKUP(22371,[1]!qryExcelSlab[#Data],5,FALSE)</f>
        <v>0</v>
      </c>
      <c r="N222" s="91">
        <f>IF(M222=0,0,VLOOKUP(22371,[1]!qryExcelSlab[#Data],4,FALSE))</f>
        <v>0</v>
      </c>
      <c r="O222" s="49">
        <f>VLOOKUP(22370,[1]!qryExcelSlab[#Data],5,FALSE)</f>
        <v>0</v>
      </c>
      <c r="P222" s="90">
        <f>IF(O222=0,0,VLOOKUP(22370,[1]!qryExcelSlab[#Data],4,FALSE))</f>
        <v>0</v>
      </c>
      <c r="Q222" s="49">
        <f>VLOOKUP(22369,[1]!qryExcelSlab[#Data],5,FALSE)</f>
        <v>0</v>
      </c>
      <c r="R222" s="51">
        <f>IF(Q222=0,0,VLOOKUP(22369,[1]!qryExcelSlab[#Data],4,FALSE))</f>
        <v>0</v>
      </c>
      <c r="S222" s="49">
        <f>VLOOKUP(22368,[1]!qryExcelSlab[#Data],5,FALSE)</f>
        <v>0</v>
      </c>
      <c r="T222" s="57" t="s">
        <v>24</v>
      </c>
    </row>
    <row r="223" spans="1:21" s="3" customFormat="1" ht="18" customHeight="1" x14ac:dyDescent="0.25">
      <c r="A223" s="327"/>
      <c r="B223" s="73"/>
      <c r="C223" s="74"/>
      <c r="D223" s="75"/>
      <c r="E223" s="73"/>
      <c r="F223" s="103"/>
      <c r="G223" s="80"/>
      <c r="H223" s="79"/>
      <c r="I223" s="78"/>
      <c r="J223" s="81"/>
      <c r="K223" s="95"/>
      <c r="L223" s="83"/>
      <c r="M223" s="78"/>
      <c r="N223" s="104"/>
      <c r="O223" s="78"/>
      <c r="P223" s="83"/>
      <c r="Q223" s="78"/>
      <c r="R223" s="81"/>
      <c r="S223" s="78"/>
      <c r="T223" s="86"/>
    </row>
    <row r="224" spans="1:21" s="3" customFormat="1" ht="18" customHeight="1" x14ac:dyDescent="0.25">
      <c r="A224" s="259" t="s">
        <v>3</v>
      </c>
      <c r="B224" s="44" t="s">
        <v>237</v>
      </c>
      <c r="C224" s="45"/>
      <c r="D224" s="46" t="s">
        <v>238</v>
      </c>
      <c r="E224" s="92" t="s">
        <v>234</v>
      </c>
      <c r="F224" s="88">
        <v>11</v>
      </c>
      <c r="G224" s="49">
        <f>VLOOKUP(17860,[1]!qryExcelSlab[#Data],5,FALSE)</f>
        <v>0</v>
      </c>
      <c r="H224" s="89">
        <f>VLOOKUP(17860,[1]!qryExcelSlab[#Data],4,FALSE)</f>
        <v>0</v>
      </c>
      <c r="I224" s="49">
        <f>VLOOKUP(19046,[1]!qryExcelSlab[#Data],5,FALSE)</f>
        <v>11</v>
      </c>
      <c r="J224" s="51">
        <f>IF(I224=0,0,VLOOKUP(19046,[1]!qryExcelSlab[#Data],4,FALSE))</f>
        <v>98</v>
      </c>
      <c r="K224" s="52">
        <f>VLOOKUP(19044,[1]!qryExcelSlab[#Data],5,FALSE)</f>
        <v>9</v>
      </c>
      <c r="L224" s="90">
        <f>IF(K224=0,0,VLOOKUP(19044,[1]!qryExcelSlab[#Data],4,FALSE))</f>
        <v>118</v>
      </c>
      <c r="M224" s="49">
        <f>VLOOKUP(19042,[1]!qryExcelSlab[#Data],5,FALSE)</f>
        <v>0</v>
      </c>
      <c r="N224" s="91">
        <f>IF(M224=0,0,VLOOKUP(19042,[1]!qryExcelSlab[#Data],4,FALSE))</f>
        <v>0</v>
      </c>
      <c r="O224" s="49">
        <f>VLOOKUP(19040,[1]!qryExcelSlab[#Data],5,FALSE)</f>
        <v>0</v>
      </c>
      <c r="P224" s="90">
        <f>IF(O224=0,0,VLOOKUP(19040,[1]!qryExcelSlab[#Data],4,FALSE))</f>
        <v>0</v>
      </c>
      <c r="Q224" s="49">
        <f>VLOOKUP(19039,[1]!qryExcelSlab[#Data],5,FALSE)</f>
        <v>0</v>
      </c>
      <c r="R224" s="51">
        <f>IF(Q224=0,0,VLOOKUP(19039,[1]!qryExcelSlab[#Data],4,FALSE))</f>
        <v>0</v>
      </c>
      <c r="S224" s="49">
        <f>VLOOKUP(19038,[1]!qryExcelSlab[#Data],5,FALSE)</f>
        <v>0</v>
      </c>
      <c r="T224" s="57" t="s">
        <v>24</v>
      </c>
    </row>
    <row r="225" spans="1:22" s="3" customFormat="1" ht="18" customHeight="1" x14ac:dyDescent="0.25">
      <c r="A225" s="259" t="s">
        <v>3</v>
      </c>
      <c r="B225" s="44" t="s">
        <v>237</v>
      </c>
      <c r="C225" s="45"/>
      <c r="D225" s="46" t="s">
        <v>239</v>
      </c>
      <c r="E225" s="92" t="s">
        <v>236</v>
      </c>
      <c r="F225" s="88">
        <v>11</v>
      </c>
      <c r="G225" s="56"/>
      <c r="H225" s="89"/>
      <c r="I225" s="49">
        <f>VLOOKUP(22391,[1]!qryExcelSlab[#Data],5,FALSE)</f>
        <v>0</v>
      </c>
      <c r="J225" s="51">
        <f>IF(I225=0,0,VLOOKUP(22391,[1]!qryExcelSlab[#Data],4,FALSE))</f>
        <v>0</v>
      </c>
      <c r="K225" s="52">
        <f>VLOOKUP(22390,[1]!qryExcelSlab[#Data],5,FALSE)</f>
        <v>0</v>
      </c>
      <c r="L225" s="90">
        <f>IF(K225=0,0,VLOOKUP(22390,[1]!qryExcelSlab[#Data],4,FALSE))</f>
        <v>0</v>
      </c>
      <c r="M225" s="49">
        <f>VLOOKUP(22389,[1]!qryExcelSlab[#Data],5,FALSE)</f>
        <v>0</v>
      </c>
      <c r="N225" s="91">
        <f>IF(M225=0,0,VLOOKUP(22389,[1]!qryExcelSlab[#Data],4,FALSE))</f>
        <v>0</v>
      </c>
      <c r="O225" s="49">
        <f>VLOOKUP(22388,[1]!qryExcelSlab[#Data],5,FALSE)</f>
        <v>0</v>
      </c>
      <c r="P225" s="90">
        <f>IF(O225=0,0,VLOOKUP(22388,[1]!qryExcelSlab[#Data],4,FALSE))</f>
        <v>0</v>
      </c>
      <c r="Q225" s="49">
        <f>VLOOKUP(22387,[1]!qryExcelSlab[#Data],5,FALSE)</f>
        <v>0</v>
      </c>
      <c r="R225" s="51">
        <f>IF(Q225=0,0,VLOOKUP(22387,[1]!qryExcelSlab[#Data],4,FALSE))</f>
        <v>0</v>
      </c>
      <c r="S225" s="49">
        <f>VLOOKUP(22386,[1]!qryExcelSlab[#Data],5,FALSE)</f>
        <v>0</v>
      </c>
      <c r="T225" s="57" t="s">
        <v>24</v>
      </c>
    </row>
    <row r="226" spans="1:22" s="3" customFormat="1" ht="18" customHeight="1" x14ac:dyDescent="0.25">
      <c r="A226" s="400"/>
      <c r="B226" s="73"/>
      <c r="C226" s="74"/>
      <c r="D226" s="75"/>
      <c r="E226" s="76"/>
      <c r="F226" s="103"/>
      <c r="G226" s="80"/>
      <c r="H226" s="79"/>
      <c r="I226" s="78"/>
      <c r="J226" s="81"/>
      <c r="K226" s="95"/>
      <c r="L226" s="83"/>
      <c r="M226" s="78"/>
      <c r="N226" s="104"/>
      <c r="O226" s="78"/>
      <c r="P226" s="83"/>
      <c r="Q226" s="78"/>
      <c r="R226" s="81"/>
      <c r="S226" s="78"/>
      <c r="T226" s="86"/>
    </row>
    <row r="227" spans="1:22" s="3" customFormat="1" ht="18" customHeight="1" x14ac:dyDescent="0.25">
      <c r="A227" s="259" t="s">
        <v>3</v>
      </c>
      <c r="B227" s="44" t="s">
        <v>240</v>
      </c>
      <c r="C227" s="45"/>
      <c r="D227" s="46"/>
      <c r="E227" s="92" t="s">
        <v>234</v>
      </c>
      <c r="F227" s="88">
        <v>14</v>
      </c>
      <c r="G227" s="49">
        <f>VLOOKUP(17890,[1]!qryExcelSlab[#Data],5,FALSE)</f>
        <v>0</v>
      </c>
      <c r="H227" s="89">
        <f>VLOOKUP(17890,[1]!qryExcelSlab[#Data],4,FALSE)</f>
        <v>0</v>
      </c>
      <c r="I227" s="49">
        <f>VLOOKUP(19055,[1]!qryExcelSlab[#Data],5,FALSE)</f>
        <v>5</v>
      </c>
      <c r="J227" s="51">
        <f>IF(I227=0,0,VLOOKUP(19055,[1]!qryExcelSlab[#Data],4,FALSE))</f>
        <v>135</v>
      </c>
      <c r="K227" s="52">
        <f>VLOOKUP(19053,[1]!qryExcelSlab[#Data],5,FALSE)</f>
        <v>1</v>
      </c>
      <c r="L227" s="90">
        <f>IF(K227=0,0,VLOOKUP(19053,[1]!qryExcelSlab[#Data],4,FALSE))</f>
        <v>165</v>
      </c>
      <c r="M227" s="49">
        <f>VLOOKUP(19051,[1]!qryExcelSlab[#Data],5,FALSE)</f>
        <v>0</v>
      </c>
      <c r="N227" s="91">
        <f>IF(M227=0,0,VLOOKUP(19051,[1]!qryExcelSlab[#Data],4,FALSE))</f>
        <v>0</v>
      </c>
      <c r="O227" s="49">
        <f>VLOOKUP(19049,[1]!qryExcelSlab[#Data],5,FALSE)</f>
        <v>0</v>
      </c>
      <c r="P227" s="90">
        <f>IF(O227=0,0,VLOOKUP(19049,[1]!qryExcelSlab[#Data],4,FALSE))</f>
        <v>0</v>
      </c>
      <c r="Q227" s="49">
        <f>VLOOKUP(19048,[1]!qryExcelSlab[#Data],5,FALSE)</f>
        <v>0</v>
      </c>
      <c r="R227" s="51">
        <f>IF(Q227=0,0,VLOOKUP(19048,[1]!qryExcelSlab[#Data],4,FALSE))</f>
        <v>0</v>
      </c>
      <c r="S227" s="49">
        <f>VLOOKUP(19047,[1]!qryExcelSlab[#Data],5,FALSE)</f>
        <v>0</v>
      </c>
      <c r="T227" s="57" t="s">
        <v>24</v>
      </c>
    </row>
    <row r="228" spans="1:22" s="3" customFormat="1" ht="18" customHeight="1" x14ac:dyDescent="0.25">
      <c r="A228" s="102"/>
      <c r="B228" s="73"/>
      <c r="C228" s="74"/>
      <c r="D228" s="75"/>
      <c r="E228" s="76"/>
      <c r="F228" s="103"/>
      <c r="G228" s="78"/>
      <c r="H228" s="79"/>
      <c r="I228" s="78"/>
      <c r="J228" s="81"/>
      <c r="K228" s="95"/>
      <c r="L228" s="83"/>
      <c r="M228" s="78"/>
      <c r="N228" s="104"/>
      <c r="O228" s="78"/>
      <c r="P228" s="83"/>
      <c r="Q228" s="78"/>
      <c r="R228" s="81"/>
      <c r="S228" s="78"/>
      <c r="T228" s="86"/>
    </row>
    <row r="229" spans="1:22" s="3" customFormat="1" ht="18" customHeight="1" x14ac:dyDescent="0.25">
      <c r="A229" s="98" t="s">
        <v>241</v>
      </c>
      <c r="B229" s="44" t="s">
        <v>242</v>
      </c>
      <c r="C229" s="45"/>
      <c r="D229" s="46"/>
      <c r="E229" s="92" t="s">
        <v>234</v>
      </c>
      <c r="F229" s="88">
        <v>13</v>
      </c>
      <c r="G229" s="49"/>
      <c r="H229" s="89"/>
      <c r="I229" s="49">
        <f>VLOOKUP(30382,[1]!qryExcelSlab[#Data],5,FALSE)</f>
        <v>0</v>
      </c>
      <c r="J229" s="51">
        <f>IF(I229=0,0,VLOOKUP(30382,[1]!qryExcelSlab[#Data],4,FALSE))</f>
        <v>0</v>
      </c>
      <c r="K229" s="52">
        <f>VLOOKUP(30383,[1]!qryExcelSlab[#Data],5,FALSE)</f>
        <v>0</v>
      </c>
      <c r="L229" s="90">
        <f>IF(K229=0,0,VLOOKUP(30383,[1]!qryExcelSlab[#Data],4,FALSE))</f>
        <v>0</v>
      </c>
      <c r="M229" s="49"/>
      <c r="N229" s="91" t="s">
        <v>3</v>
      </c>
      <c r="O229" s="49"/>
      <c r="P229" s="90" t="s">
        <v>3</v>
      </c>
      <c r="Q229" s="49"/>
      <c r="R229" s="51" t="s">
        <v>3</v>
      </c>
      <c r="S229" s="49"/>
      <c r="T229" s="57" t="s">
        <v>24</v>
      </c>
      <c r="U229" s="3" t="s">
        <v>3</v>
      </c>
      <c r="V229" s="98" t="s">
        <v>3</v>
      </c>
    </row>
    <row r="230" spans="1:22" s="3" customFormat="1" ht="18" customHeight="1" x14ac:dyDescent="0.25">
      <c r="A230" s="102"/>
      <c r="B230" s="73"/>
      <c r="C230" s="74"/>
      <c r="D230" s="75"/>
      <c r="E230" s="76"/>
      <c r="F230" s="103"/>
      <c r="G230" s="78"/>
      <c r="H230" s="79"/>
      <c r="I230" s="78"/>
      <c r="J230" s="81"/>
      <c r="K230" s="95"/>
      <c r="L230" s="83"/>
      <c r="M230" s="78"/>
      <c r="N230" s="104"/>
      <c r="O230" s="78"/>
      <c r="P230" s="83"/>
      <c r="Q230" s="78"/>
      <c r="R230" s="81"/>
      <c r="S230" s="78"/>
      <c r="T230" s="86"/>
    </row>
    <row r="231" spans="1:22" s="3" customFormat="1" ht="18" customHeight="1" x14ac:dyDescent="0.25">
      <c r="A231" s="43" t="s">
        <v>243</v>
      </c>
      <c r="B231" s="44" t="s">
        <v>244</v>
      </c>
      <c r="C231" s="45"/>
      <c r="D231" s="46"/>
      <c r="E231" s="92" t="s">
        <v>234</v>
      </c>
      <c r="F231" s="88">
        <v>11</v>
      </c>
      <c r="G231" s="49">
        <f>VLOOKUP(17896,[1]!qryExcelSlab[#Data],5,FALSE)</f>
        <v>0</v>
      </c>
      <c r="H231" s="89">
        <f>VLOOKUP(17896,[1]!qryExcelSlab[#Data],4,FALSE)</f>
        <v>0</v>
      </c>
      <c r="I231" s="49">
        <f>VLOOKUP(19065,[1]!qryExcelSlab[#Data],5,FALSE)</f>
        <v>10</v>
      </c>
      <c r="J231" s="51">
        <f>IF(I231=0,0,VLOOKUP(19065,[1]!qryExcelSlab[#Data],4,FALSE))</f>
        <v>98</v>
      </c>
      <c r="K231" s="52">
        <f>VLOOKUP(19063,[1]!qryExcelSlab[#Data],5,FALSE)</f>
        <v>45</v>
      </c>
      <c r="L231" s="90">
        <f>IF(K231=0,0,VLOOKUP(19063,[1]!qryExcelSlab[#Data],4,FALSE))</f>
        <v>118</v>
      </c>
      <c r="M231" s="49">
        <f>VLOOKUP(19061,[1]!qryExcelSlab[#Data],5,FALSE)</f>
        <v>1</v>
      </c>
      <c r="N231" s="91">
        <f>IF(M231=0,0,VLOOKUP(19061,[1]!qryExcelSlab[#Data],4,FALSE))</f>
        <v>132</v>
      </c>
      <c r="O231" s="49">
        <f>VLOOKUP(19059,[1]!qryExcelSlab[#Data],5,FALSE)</f>
        <v>0</v>
      </c>
      <c r="P231" s="90">
        <f>IF(O231=0,0,VLOOKUP(19059,[1]!qryExcelSlab[#Data],4,FALSE))</f>
        <v>0</v>
      </c>
      <c r="Q231" s="49">
        <f>VLOOKUP(19058,[1]!qryExcelSlab[#Data],5,FALSE)</f>
        <v>0</v>
      </c>
      <c r="R231" s="51">
        <f>IF(Q231=0,0,VLOOKUP(19058,[1]!qryExcelSlab[#Data],4,FALSE))</f>
        <v>0</v>
      </c>
      <c r="S231" s="49">
        <f>VLOOKUP(19057,[1]!qryExcelSlab[#Data],5,FALSE)</f>
        <v>0</v>
      </c>
      <c r="T231" s="57" t="s">
        <v>24</v>
      </c>
    </row>
    <row r="232" spans="1:22" s="3" customFormat="1" ht="18" customHeight="1" x14ac:dyDescent="0.25">
      <c r="A232" s="28"/>
      <c r="B232" s="73"/>
      <c r="C232" s="74"/>
      <c r="D232" s="75"/>
      <c r="E232" s="76"/>
      <c r="F232" s="103"/>
      <c r="G232" s="80"/>
      <c r="H232" s="79"/>
      <c r="I232" s="78"/>
      <c r="J232" s="81"/>
      <c r="K232" s="95"/>
      <c r="L232" s="83"/>
      <c r="M232" s="78"/>
      <c r="N232" s="104"/>
      <c r="O232" s="78"/>
      <c r="P232" s="83"/>
      <c r="Q232" s="78"/>
      <c r="R232" s="81"/>
      <c r="S232" s="78"/>
      <c r="T232" s="86"/>
    </row>
    <row r="233" spans="1:22" s="3" customFormat="1" ht="18" customHeight="1" x14ac:dyDescent="0.25">
      <c r="A233" s="43" t="s">
        <v>245</v>
      </c>
      <c r="B233" s="44" t="s">
        <v>246</v>
      </c>
      <c r="C233" s="45"/>
      <c r="D233" s="46"/>
      <c r="E233" s="92" t="s">
        <v>234</v>
      </c>
      <c r="F233" s="88">
        <v>11</v>
      </c>
      <c r="G233" s="49">
        <f>VLOOKUP(30052,[1]!qryExcelSlab[#Data],5,FALSE)</f>
        <v>2</v>
      </c>
      <c r="H233" s="89">
        <f>VLOOKUP(30052,[1]!qryExcelSlab[#Data],4,FALSE)</f>
        <v>0</v>
      </c>
      <c r="I233" s="49">
        <f>VLOOKUP(23070,[1]!qryExcelSlab[#Data],5,FALSE)</f>
        <v>7</v>
      </c>
      <c r="J233" s="51">
        <f>IF(I233=0,0,VLOOKUP(23070,[1]!qryExcelSlab[#Data],4,FALSE))</f>
        <v>98</v>
      </c>
      <c r="K233" s="52">
        <f>VLOOKUP(19762,[1]!qryExcelSlab[#Data],5,FALSE)</f>
        <v>42</v>
      </c>
      <c r="L233" s="90">
        <f>IF(K233=0,0,VLOOKUP(19762,[1]!qryExcelSlab[#Data],4,FALSE))</f>
        <v>118</v>
      </c>
      <c r="M233" s="49">
        <f>VLOOKUP(19135,[1]!qryExcelSlab[#Data],5,FALSE)</f>
        <v>4</v>
      </c>
      <c r="N233" s="91">
        <f>IF(M233=0,0,VLOOKUP(19135,[1]!qryExcelSlab[#Data],4,FALSE))</f>
        <v>132</v>
      </c>
      <c r="O233" s="49">
        <f>VLOOKUP(19198,[1]!qryExcelSlab[#Data],5,FALSE)</f>
        <v>0</v>
      </c>
      <c r="P233" s="90">
        <f>IF(O233=0,0,VLOOKUP(19198,[1]!qryExcelSlab[#Data],4,FALSE))</f>
        <v>0</v>
      </c>
      <c r="Q233" s="49">
        <f>VLOOKUP(22381,[1]!qryExcelSlab[#Data],5,FALSE)</f>
        <v>0</v>
      </c>
      <c r="R233" s="51">
        <f>IF(Q233=0,0,VLOOKUP(22381,[1]!qryExcelSlab[#Data],4,FALSE))</f>
        <v>0</v>
      </c>
      <c r="S233" s="49"/>
      <c r="T233" s="57" t="s">
        <v>24</v>
      </c>
    </row>
    <row r="234" spans="1:22" s="3" customFormat="1" ht="18" customHeight="1" x14ac:dyDescent="0.25">
      <c r="A234" s="28"/>
      <c r="B234" s="73"/>
      <c r="C234" s="74"/>
      <c r="D234" s="75"/>
      <c r="E234" s="76"/>
      <c r="F234" s="103"/>
      <c r="G234" s="80"/>
      <c r="H234" s="79"/>
      <c r="I234" s="78"/>
      <c r="J234" s="81"/>
      <c r="K234" s="95"/>
      <c r="L234" s="83"/>
      <c r="M234" s="78"/>
      <c r="N234" s="104"/>
      <c r="O234" s="78"/>
      <c r="P234" s="83"/>
      <c r="Q234" s="78"/>
      <c r="R234" s="81"/>
      <c r="S234" s="78"/>
      <c r="T234" s="86"/>
    </row>
    <row r="235" spans="1:22" s="3" customFormat="1" ht="18" customHeight="1" x14ac:dyDescent="0.25">
      <c r="A235" s="259" t="s">
        <v>3</v>
      </c>
      <c r="B235" s="44" t="s">
        <v>247</v>
      </c>
      <c r="C235" s="45"/>
      <c r="D235" s="46"/>
      <c r="E235" s="92" t="s">
        <v>234</v>
      </c>
      <c r="F235" s="88">
        <v>13</v>
      </c>
      <c r="G235" s="56"/>
      <c r="H235" s="89"/>
      <c r="I235" s="49">
        <f>VLOOKUP(22379,[1]!qryExcelSlab[#Data],5,FALSE)</f>
        <v>0</v>
      </c>
      <c r="J235" s="51">
        <f>IF(I235=0,0,VLOOKUP(22379,[1]!qryExcelSlab[#Data],4,FALSE))</f>
        <v>0</v>
      </c>
      <c r="K235" s="52">
        <f>VLOOKUP(22378,[1]!qryExcelSlab[#Data],5,FALSE)</f>
        <v>0</v>
      </c>
      <c r="L235" s="90">
        <f>IF(K235=0,0,VLOOKUP(22378,[1]!qryExcelSlab[#Data],4,FALSE))</f>
        <v>0</v>
      </c>
      <c r="M235" s="49">
        <f>VLOOKUP(22377,[1]!qryExcelSlab[#Data],5,FALSE)</f>
        <v>0</v>
      </c>
      <c r="N235" s="91">
        <f>IF(M235=0,0,VLOOKUP(22377,[1]!qryExcelSlab[#Data],4,FALSE))</f>
        <v>0</v>
      </c>
      <c r="O235" s="49">
        <f>VLOOKUP(22376,[1]!qryExcelSlab[#Data],5,FALSE)</f>
        <v>0</v>
      </c>
      <c r="P235" s="90">
        <f>IF(O235=0,0,VLOOKUP(22376,[1]!qryExcelSlab[#Data],4,FALSE))</f>
        <v>0</v>
      </c>
      <c r="Q235" s="49">
        <f>VLOOKUP(22375,[1]!qryExcelSlab[#Data],5,FALSE)</f>
        <v>0</v>
      </c>
      <c r="R235" s="51">
        <f>IF(Q235=0,0,VLOOKUP(22375,[1]!qryExcelSlab[#Data],4,FALSE))</f>
        <v>0</v>
      </c>
      <c r="S235" s="49">
        <f>VLOOKUP(22374,[1]!qryExcelSlab[#Data],5,FALSE)</f>
        <v>0</v>
      </c>
      <c r="T235" s="57" t="s">
        <v>24</v>
      </c>
    </row>
    <row r="236" spans="1:22" s="3" customFormat="1" ht="18" customHeight="1" x14ac:dyDescent="0.25">
      <c r="A236" s="102"/>
      <c r="B236" s="73"/>
      <c r="C236" s="74"/>
      <c r="D236" s="75"/>
      <c r="E236" s="76"/>
      <c r="F236" s="103"/>
      <c r="G236" s="80"/>
      <c r="H236" s="79"/>
      <c r="I236" s="78"/>
      <c r="J236" s="81"/>
      <c r="K236" s="95"/>
      <c r="L236" s="83"/>
      <c r="M236" s="78"/>
      <c r="N236" s="104"/>
      <c r="O236" s="78"/>
      <c r="P236" s="83"/>
      <c r="Q236" s="78"/>
      <c r="R236" s="81"/>
      <c r="S236" s="78"/>
      <c r="T236" s="86"/>
    </row>
    <row r="237" spans="1:22" s="3" customFormat="1" ht="18" customHeight="1" x14ac:dyDescent="0.25">
      <c r="A237" s="98" t="s">
        <v>248</v>
      </c>
      <c r="B237" s="44" t="s">
        <v>249</v>
      </c>
      <c r="C237" s="45"/>
      <c r="D237" s="46"/>
      <c r="E237" s="92" t="s">
        <v>234</v>
      </c>
      <c r="F237" s="88">
        <v>13</v>
      </c>
      <c r="G237" s="49"/>
      <c r="H237" s="89"/>
      <c r="I237" s="49">
        <f>VLOOKUP(30379,[1]!qryExcelSlab[#Data],5,FALSE)</f>
        <v>1</v>
      </c>
      <c r="J237" s="51">
        <f>IF(I237=0,0,VLOOKUP(30379,[1]!qryExcelSlab[#Data],4,FALSE))</f>
        <v>110</v>
      </c>
      <c r="K237" s="52">
        <f>VLOOKUP(30380,[1]!qryExcelSlab[#Data],5,FALSE)</f>
        <v>0</v>
      </c>
      <c r="L237" s="90">
        <f>IF(K237=0,0,VLOOKUP(30380,[1]!qryExcelSlab[#Data],4,FALSE))</f>
        <v>0</v>
      </c>
      <c r="M237" s="49">
        <f>VLOOKUP(30381,[1]!qryExcelSlab[#Data],5,FALSE)</f>
        <v>0</v>
      </c>
      <c r="N237" s="91">
        <f>IF(M237=0,0,VLOOKUP(30381,[1]!qryExcelSlab[#Data],4,FALSE))</f>
        <v>0</v>
      </c>
      <c r="O237" s="49"/>
      <c r="P237" s="90" t="s">
        <v>3</v>
      </c>
      <c r="Q237" s="49"/>
      <c r="R237" s="51" t="s">
        <v>3</v>
      </c>
      <c r="S237" s="49"/>
      <c r="T237" s="57" t="s">
        <v>24</v>
      </c>
    </row>
    <row r="238" spans="1:22" s="3" customFormat="1" ht="18" customHeight="1" x14ac:dyDescent="0.25">
      <c r="A238" s="28"/>
      <c r="B238" s="73"/>
      <c r="C238" s="74"/>
      <c r="D238" s="75"/>
      <c r="E238" s="76"/>
      <c r="F238" s="103"/>
      <c r="G238" s="80"/>
      <c r="H238" s="79"/>
      <c r="I238" s="78"/>
      <c r="J238" s="81"/>
      <c r="K238" s="95"/>
      <c r="L238" s="83"/>
      <c r="M238" s="78"/>
      <c r="N238" s="104"/>
      <c r="O238" s="78"/>
      <c r="P238" s="83"/>
      <c r="Q238" s="78"/>
      <c r="R238" s="81"/>
      <c r="S238" s="78"/>
      <c r="T238" s="86"/>
    </row>
    <row r="239" spans="1:22" s="3" customFormat="1" ht="18" customHeight="1" x14ac:dyDescent="0.25">
      <c r="A239" s="259" t="s">
        <v>3</v>
      </c>
      <c r="B239" s="44" t="s">
        <v>250</v>
      </c>
      <c r="C239" s="45"/>
      <c r="D239" s="46"/>
      <c r="E239" s="92" t="s">
        <v>234</v>
      </c>
      <c r="F239" s="88">
        <v>15</v>
      </c>
      <c r="G239" s="49">
        <f>VLOOKUP(29998,[1]!qryExcelSlab[#Data],5,FALSE)</f>
        <v>0</v>
      </c>
      <c r="H239" s="89">
        <f>VLOOKUP(29998,[1]!qryExcelSlab[#Data],4,FALSE)</f>
        <v>0</v>
      </c>
      <c r="I239" s="49">
        <f>VLOOKUP(19074,[1]!qryExcelSlab[#Data],5,FALSE)</f>
        <v>0</v>
      </c>
      <c r="J239" s="51">
        <f>IF(I239=0,0,VLOOKUP(19074,[1]!qryExcelSlab[#Data],4,FALSE))</f>
        <v>0</v>
      </c>
      <c r="K239" s="52">
        <f>VLOOKUP(19072,[1]!qryExcelSlab[#Data],5,FALSE)</f>
        <v>0</v>
      </c>
      <c r="L239" s="90">
        <f>IF(K239=0,0,VLOOKUP(19072,[1]!qryExcelSlab[#Data],4,FALSE))</f>
        <v>0</v>
      </c>
      <c r="M239" s="49">
        <f>VLOOKUP(19070,[1]!qryExcelSlab[#Data],5,FALSE)</f>
        <v>0</v>
      </c>
      <c r="N239" s="91">
        <f>IF(M239=0,0,VLOOKUP(19070,[1]!qryExcelSlab[#Data],4,FALSE))</f>
        <v>0</v>
      </c>
      <c r="O239" s="49">
        <f>VLOOKUP(19068,[1]!qryExcelSlab[#Data],5,FALSE)</f>
        <v>0</v>
      </c>
      <c r="P239" s="90">
        <f>IF(O239=0,0,VLOOKUP(19068,[1]!qryExcelSlab[#Data],4,FALSE))</f>
        <v>0</v>
      </c>
      <c r="Q239" s="49">
        <f>VLOOKUP(19067,[1]!qryExcelSlab[#Data],5,FALSE)</f>
        <v>0</v>
      </c>
      <c r="R239" s="51">
        <f>IF(Q239=0,0,VLOOKUP(19067,[1]!qryExcelSlab[#Data],4,FALSE))</f>
        <v>0</v>
      </c>
      <c r="S239" s="49">
        <f>VLOOKUP(19066,[1]!qryExcelSlab[#Data],5,FALSE)</f>
        <v>0</v>
      </c>
      <c r="T239" s="57" t="s">
        <v>24</v>
      </c>
    </row>
    <row r="240" spans="1:22" s="3" customFormat="1" ht="18" customHeight="1" x14ac:dyDescent="0.25">
      <c r="A240" s="28"/>
      <c r="B240" s="73"/>
      <c r="C240" s="74"/>
      <c r="D240" s="75"/>
      <c r="E240" s="76"/>
      <c r="F240" s="103"/>
      <c r="G240" s="80"/>
      <c r="H240" s="79"/>
      <c r="I240" s="78"/>
      <c r="J240" s="81"/>
      <c r="K240" s="95"/>
      <c r="L240" s="83"/>
      <c r="M240" s="78"/>
      <c r="N240" s="104"/>
      <c r="O240" s="78"/>
      <c r="P240" s="83"/>
      <c r="Q240" s="78"/>
      <c r="R240" s="81"/>
      <c r="S240" s="78"/>
      <c r="T240" s="86"/>
    </row>
    <row r="241" spans="1:21" s="3" customFormat="1" ht="18" customHeight="1" x14ac:dyDescent="0.25">
      <c r="A241" s="43" t="s">
        <v>251</v>
      </c>
      <c r="B241" s="44" t="s">
        <v>252</v>
      </c>
      <c r="C241" s="45"/>
      <c r="D241" s="46"/>
      <c r="E241" s="92" t="s">
        <v>234</v>
      </c>
      <c r="F241" s="88">
        <v>11</v>
      </c>
      <c r="G241" s="49">
        <f>VLOOKUP(30640,[1]!qryExcelSlab[#Data],5,FALSE)</f>
        <v>1</v>
      </c>
      <c r="H241" s="89">
        <f>VLOOKUP(30640,[1]!qryExcelSlab[#Data],4,FALSE)</f>
        <v>0</v>
      </c>
      <c r="I241" s="49">
        <f>VLOOKUP(22385,[1]!qryExcelSlab[#Data],5,FALSE)</f>
        <v>2</v>
      </c>
      <c r="J241" s="51">
        <f>IF(I241=0,0,VLOOKUP(22385,[1]!qryExcelSlab[#Data],4,FALSE))</f>
        <v>98</v>
      </c>
      <c r="K241" s="52">
        <f>VLOOKUP(22384,[1]!qryExcelSlab[#Data],5,FALSE)</f>
        <v>0</v>
      </c>
      <c r="L241" s="90">
        <f>IF(K241=0,0,VLOOKUP(22384,[1]!qryExcelSlab[#Data],4,FALSE))</f>
        <v>0</v>
      </c>
      <c r="M241" s="49">
        <f>VLOOKUP(22383,[1]!qryExcelSlab[#Data],5,FALSE)</f>
        <v>1</v>
      </c>
      <c r="N241" s="91">
        <f>IF(M241=0,0,VLOOKUP(22383,[1]!qryExcelSlab[#Data],4,FALSE))</f>
        <v>132</v>
      </c>
      <c r="O241" s="49">
        <f>VLOOKUP(22382,[1]!qryExcelSlab[#Data],5,FALSE)</f>
        <v>0</v>
      </c>
      <c r="P241" s="90">
        <f>IF(O241=0,0,VLOOKUP(22382,[1]!qryExcelSlab[#Data],4,FALSE))</f>
        <v>0</v>
      </c>
      <c r="Q241" s="49">
        <f>VLOOKUP(22381,[1]!qryExcelSlab[#Data],5,FALSE)</f>
        <v>0</v>
      </c>
      <c r="R241" s="51">
        <f>IF(Q241=0,0,VLOOKUP(22381,[1]!qryExcelSlab[#Data],4,FALSE))</f>
        <v>0</v>
      </c>
      <c r="S241" s="49">
        <f>VLOOKUP(22380,[1]!qryExcelSlab[#Data],5,FALSE)</f>
        <v>0</v>
      </c>
      <c r="T241" s="57" t="s">
        <v>24</v>
      </c>
    </row>
    <row r="242" spans="1:21" s="3" customFormat="1" ht="18" customHeight="1" x14ac:dyDescent="0.25">
      <c r="A242" s="28"/>
      <c r="B242" s="73"/>
      <c r="C242" s="74"/>
      <c r="D242" s="75"/>
      <c r="E242" s="76"/>
      <c r="F242" s="103"/>
      <c r="G242" s="80"/>
      <c r="H242" s="79"/>
      <c r="I242" s="78"/>
      <c r="J242" s="81"/>
      <c r="K242" s="95"/>
      <c r="L242" s="83"/>
      <c r="M242" s="78"/>
      <c r="N242" s="104"/>
      <c r="O242" s="78"/>
      <c r="P242" s="83"/>
      <c r="Q242" s="78"/>
      <c r="R242" s="81"/>
      <c r="S242" s="78"/>
      <c r="T242" s="86"/>
    </row>
    <row r="243" spans="1:21" s="3" customFormat="1" ht="18" customHeight="1" x14ac:dyDescent="0.25">
      <c r="A243" s="43" t="s">
        <v>253</v>
      </c>
      <c r="B243" s="44" t="s">
        <v>254</v>
      </c>
      <c r="C243" s="45"/>
      <c r="D243" s="75"/>
      <c r="E243" s="92" t="s">
        <v>234</v>
      </c>
      <c r="F243" s="88">
        <v>11</v>
      </c>
      <c r="G243" s="49">
        <f>VLOOKUP(29999,[1]!qryExcelSlab[#Data],5,FALSE)</f>
        <v>0</v>
      </c>
      <c r="H243" s="89">
        <f>VLOOKUP(29999,[1]!qryExcelSlab[#Data],4,FALSE)</f>
        <v>0</v>
      </c>
      <c r="I243" s="49">
        <f>VLOOKUP(19083,[1]!qryExcelSlab[#Data],5,FALSE)</f>
        <v>0</v>
      </c>
      <c r="J243" s="51">
        <f>IF(I243=0,0,VLOOKUP(19083,[1]!qryExcelSlab[#Data],4,FALSE))</f>
        <v>0</v>
      </c>
      <c r="K243" s="52">
        <f>VLOOKUP(19081,[1]!qryExcelSlab[#Data],5,FALSE)</f>
        <v>0</v>
      </c>
      <c r="L243" s="90">
        <f>IF(K243=0,0,VLOOKUP(19081,[1]!qryExcelSlab[#Data],4,FALSE))</f>
        <v>0</v>
      </c>
      <c r="M243" s="49">
        <f>VLOOKUP(19079,[1]!qryExcelSlab[#Data],5,FALSE)</f>
        <v>0</v>
      </c>
      <c r="N243" s="91">
        <f>IF(M243=0,0,VLOOKUP(19079,[1]!qryExcelSlab[#Data],4,FALSE))</f>
        <v>0</v>
      </c>
      <c r="O243" s="49">
        <f>VLOOKUP(19077,[1]!qryExcelSlab[#Data],5,FALSE)</f>
        <v>0</v>
      </c>
      <c r="P243" s="90">
        <f>IF(O243=0,0,VLOOKUP(19077,[1]!qryExcelSlab[#Data],4,FALSE))</f>
        <v>0</v>
      </c>
      <c r="Q243" s="49">
        <f>VLOOKUP(19076,[1]!qryExcelSlab[#Data],5,FALSE)</f>
        <v>0</v>
      </c>
      <c r="R243" s="51">
        <f>IF(Q243=0,0,VLOOKUP(19076,[1]!qryExcelSlab[#Data],4,FALSE))</f>
        <v>0</v>
      </c>
      <c r="S243" s="49">
        <f>VLOOKUP(19075,[1]!qryExcelSlab[#Data],5,FALSE)</f>
        <v>0</v>
      </c>
      <c r="T243" s="57" t="s">
        <v>24</v>
      </c>
    </row>
    <row r="244" spans="1:21" s="3" customFormat="1" ht="15.75" x14ac:dyDescent="0.25">
      <c r="A244" s="9"/>
      <c r="C244" s="11"/>
      <c r="E244" s="12"/>
      <c r="F244" s="401"/>
      <c r="G244" s="100"/>
      <c r="H244" s="332"/>
      <c r="I244" s="360"/>
      <c r="J244" s="335"/>
      <c r="K244" s="336"/>
      <c r="L244" s="402"/>
      <c r="M244" s="403"/>
      <c r="N244" s="404"/>
      <c r="O244" s="403"/>
      <c r="P244" s="402"/>
      <c r="Q244" s="403"/>
      <c r="R244" s="402"/>
      <c r="S244" s="403"/>
      <c r="T244" s="363"/>
    </row>
    <row r="245" spans="1:21" s="3" customFormat="1" ht="18" customHeight="1" x14ac:dyDescent="0.25">
      <c r="A245" s="98" t="s">
        <v>255</v>
      </c>
      <c r="B245" s="44" t="s">
        <v>256</v>
      </c>
      <c r="C245" s="45"/>
      <c r="D245" s="46"/>
      <c r="E245" s="92" t="s">
        <v>234</v>
      </c>
      <c r="F245" s="88">
        <v>13</v>
      </c>
      <c r="G245" s="49">
        <f>VLOOKUP(30378,[1]!qryExcelSlab[#Data],5,FALSE)</f>
        <v>0</v>
      </c>
      <c r="H245" s="89">
        <f>VLOOKUP(30378,[1]!qryExcelSlab[#Data],4,FALSE)</f>
        <v>0</v>
      </c>
      <c r="I245" s="49"/>
      <c r="J245" s="51" t="s">
        <v>3</v>
      </c>
      <c r="K245" s="52">
        <f>VLOOKUP(30376,[1]!qryExcelSlab[#Data],5,FALSE)</f>
        <v>0</v>
      </c>
      <c r="L245" s="90">
        <f>IF(K245=0,0,VLOOKUP(30376,[1]!qryExcelSlab[#Data],4,FALSE))</f>
        <v>0</v>
      </c>
      <c r="M245" s="49">
        <f>VLOOKUP(30377,[1]!qryExcelSlab[#Data],5,FALSE)</f>
        <v>0</v>
      </c>
      <c r="N245" s="91">
        <f>IF(M245=0,0,VLOOKUP(30377,[1]!qryExcelSlab[#Data],4,FALSE))</f>
        <v>0</v>
      </c>
      <c r="O245" s="49"/>
      <c r="P245" s="90" t="s">
        <v>3</v>
      </c>
      <c r="Q245" s="49"/>
      <c r="R245" s="51" t="s">
        <v>3</v>
      </c>
      <c r="S245" s="49"/>
      <c r="T245" s="57" t="s">
        <v>24</v>
      </c>
    </row>
    <row r="246" spans="1:21" s="3" customFormat="1" ht="18" customHeight="1" x14ac:dyDescent="0.25">
      <c r="A246" s="102"/>
      <c r="B246" s="73"/>
      <c r="C246" s="74"/>
      <c r="D246" s="75"/>
      <c r="E246" s="76"/>
      <c r="F246" s="103"/>
      <c r="G246" s="78"/>
      <c r="H246" s="79"/>
      <c r="I246" s="78"/>
      <c r="J246" s="81"/>
      <c r="K246" s="95"/>
      <c r="L246" s="83"/>
      <c r="M246" s="78"/>
      <c r="N246" s="104"/>
      <c r="O246" s="78"/>
      <c r="P246" s="83"/>
      <c r="Q246" s="78"/>
      <c r="R246" s="81"/>
      <c r="S246" s="78"/>
      <c r="T246" s="405"/>
    </row>
    <row r="247" spans="1:21" s="3" customFormat="1" ht="18" customHeight="1" x14ac:dyDescent="0.25">
      <c r="A247" s="43" t="s">
        <v>257</v>
      </c>
      <c r="B247" s="44" t="s">
        <v>258</v>
      </c>
      <c r="C247" s="45"/>
      <c r="D247" s="46"/>
      <c r="E247" s="92" t="s">
        <v>234</v>
      </c>
      <c r="F247" s="88">
        <v>10</v>
      </c>
      <c r="G247" s="406">
        <f>VLOOKUP(17961,[1]!qryExcelSlab[#Data],5,FALSE)</f>
        <v>2</v>
      </c>
      <c r="H247" s="89">
        <f>VLOOKUP(17961,[1]!qryExcelSlab[#Data],4,FALSE)</f>
        <v>0</v>
      </c>
      <c r="I247" s="49">
        <f>VLOOKUP(30611,[1]!qryExcelSlab[#Data],5,FALSE)</f>
        <v>2</v>
      </c>
      <c r="J247" s="51">
        <f>IF(I247=0,0,VLOOKUP(30611,[1]!qryExcelSlab[#Data],4,FALSE))</f>
        <v>88</v>
      </c>
      <c r="K247" s="52">
        <f>VLOOKUP(19763,[1]!qryExcelSlab[#Data],5,FALSE)</f>
        <v>20</v>
      </c>
      <c r="L247" s="90">
        <f>IF(K247=0,0,VLOOKUP(19763,[1]!qryExcelSlab[#Data],4,FALSE))</f>
        <v>108</v>
      </c>
      <c r="M247" s="49">
        <f>VLOOKUP(19160,[1]!qryExcelSlab[#Data],5,FALSE)</f>
        <v>24</v>
      </c>
      <c r="N247" s="91">
        <f>IF(M247=0,0,VLOOKUP(19160,[1]!qryExcelSlab[#Data],4,FALSE))</f>
        <v>123</v>
      </c>
      <c r="O247" s="49">
        <f>VLOOKUP(19158,[1]!qryExcelSlab[#Data],5,FALSE)</f>
        <v>6</v>
      </c>
      <c r="P247" s="90">
        <f>IF(O247=0,0,VLOOKUP(19158,[1]!qryExcelSlab[#Data],4,FALSE))</f>
        <v>138</v>
      </c>
      <c r="Q247" s="49">
        <f>VLOOKUP(19157,[1]!qryExcelSlab[#Data],5,FALSE)</f>
        <v>0</v>
      </c>
      <c r="R247" s="51">
        <f>IF(Q247=0,0,VLOOKUP(19157,[1]!qryExcelSlab[#Data],4,FALSE))</f>
        <v>0</v>
      </c>
      <c r="S247" s="49"/>
      <c r="T247" s="57" t="s">
        <v>24</v>
      </c>
    </row>
    <row r="248" spans="1:21" s="3" customFormat="1" ht="18" customHeight="1" x14ac:dyDescent="0.25">
      <c r="A248" s="28"/>
      <c r="B248" s="73"/>
      <c r="C248" s="74"/>
      <c r="D248" s="75"/>
      <c r="E248" s="76"/>
      <c r="F248" s="103"/>
      <c r="G248" s="80"/>
      <c r="H248" s="79"/>
      <c r="I248" s="78"/>
      <c r="J248" s="81"/>
      <c r="K248" s="95"/>
      <c r="L248" s="83"/>
      <c r="M248" s="78"/>
      <c r="N248" s="104"/>
      <c r="O248" s="78"/>
      <c r="P248" s="83"/>
      <c r="Q248" s="78"/>
      <c r="R248" s="81"/>
      <c r="S248" s="78"/>
      <c r="T248" s="86"/>
    </row>
    <row r="249" spans="1:21" s="3" customFormat="1" ht="18" customHeight="1" x14ac:dyDescent="0.25">
      <c r="A249" s="43" t="s">
        <v>259</v>
      </c>
      <c r="B249" s="44" t="s">
        <v>260</v>
      </c>
      <c r="C249" s="45"/>
      <c r="D249" s="46"/>
      <c r="E249" s="92" t="s">
        <v>234</v>
      </c>
      <c r="F249" s="88">
        <v>10</v>
      </c>
      <c r="G249" s="49">
        <f>VLOOKUP(30050,[1]!qryExcelSlab[#Data],5,FALSE)</f>
        <v>1</v>
      </c>
      <c r="H249" s="89">
        <f>VLOOKUP(30050,[1]!qryExcelSlab[#Data],4,FALSE)</f>
        <v>0</v>
      </c>
      <c r="I249" s="49">
        <f>VLOOKUP(23077,[1]!qryExcelSlab[#Data],5,FALSE)</f>
        <v>6</v>
      </c>
      <c r="J249" s="51">
        <f>IF(I249=0,0,VLOOKUP(23077,[1]!qryExcelSlab[#Data],4,FALSE))</f>
        <v>88</v>
      </c>
      <c r="K249" s="52">
        <f>VLOOKUP(19764,[1]!qryExcelSlab[#Data],5,FALSE)</f>
        <v>17</v>
      </c>
      <c r="L249" s="90">
        <f>IF(K249=0,0,VLOOKUP(19764,[1]!qryExcelSlab[#Data],4,FALSE))</f>
        <v>108</v>
      </c>
      <c r="M249" s="49">
        <f>VLOOKUP(19138,[1]!qryExcelSlab[#Data],5,FALSE)</f>
        <v>14</v>
      </c>
      <c r="N249" s="91">
        <f>IF(M249=0,0,VLOOKUP(19138,[1]!qryExcelSlab[#Data],4,FALSE))</f>
        <v>123</v>
      </c>
      <c r="O249" s="49">
        <f>VLOOKUP(23078,[1]!qryExcelSlab[#Data],5,FALSE)</f>
        <v>0</v>
      </c>
      <c r="P249" s="90">
        <f>IF(O249=0,0,VLOOKUP(23078,[1]!qryExcelSlab[#Data],4,FALSE))</f>
        <v>0</v>
      </c>
      <c r="Q249" s="49"/>
      <c r="R249" s="51" t="s">
        <v>3</v>
      </c>
      <c r="S249" s="49"/>
      <c r="T249" s="57" t="s">
        <v>24</v>
      </c>
    </row>
    <row r="250" spans="1:21" s="3" customFormat="1" ht="18" customHeight="1" x14ac:dyDescent="0.25">
      <c r="A250" s="28"/>
      <c r="B250" s="73"/>
      <c r="C250" s="74"/>
      <c r="D250" s="75"/>
      <c r="E250" s="76"/>
      <c r="F250" s="103"/>
      <c r="G250" s="80"/>
      <c r="H250" s="79"/>
      <c r="I250" s="78"/>
      <c r="J250" s="81"/>
      <c r="K250" s="95"/>
      <c r="L250" s="83"/>
      <c r="M250" s="78"/>
      <c r="N250" s="104"/>
      <c r="O250" s="78"/>
      <c r="P250" s="83"/>
      <c r="Q250" s="78"/>
      <c r="R250" s="81"/>
      <c r="S250" s="78"/>
      <c r="T250" s="86"/>
    </row>
    <row r="251" spans="1:21" s="3" customFormat="1" ht="18" customHeight="1" x14ac:dyDescent="0.25">
      <c r="A251" s="43" t="s">
        <v>261</v>
      </c>
      <c r="B251" s="44" t="s">
        <v>262</v>
      </c>
      <c r="C251" s="45"/>
      <c r="D251" s="46"/>
      <c r="E251" s="92" t="s">
        <v>234</v>
      </c>
      <c r="F251" s="88">
        <v>11</v>
      </c>
      <c r="G251" s="56"/>
      <c r="H251" s="89"/>
      <c r="I251" s="49">
        <f>VLOOKUP(22397,[1]!qryExcelSlab[#Data],5,FALSE)</f>
        <v>1</v>
      </c>
      <c r="J251" s="51">
        <f>IF(I251=0,0,VLOOKUP(22397,[1]!qryExcelSlab[#Data],4,FALSE))</f>
        <v>98</v>
      </c>
      <c r="K251" s="52">
        <f>VLOOKUP(22396,[1]!qryExcelSlab[#Data],5,FALSE)</f>
        <v>5</v>
      </c>
      <c r="L251" s="90">
        <f>IF(K251=0,0,VLOOKUP(22396,[1]!qryExcelSlab[#Data],4,FALSE))</f>
        <v>118</v>
      </c>
      <c r="M251" s="49">
        <f>VLOOKUP(22395,[1]!qryExcelSlab[#Data],5,FALSE)</f>
        <v>3</v>
      </c>
      <c r="N251" s="91">
        <f>IF(M251=0,0,VLOOKUP(22395,[1]!qryExcelSlab[#Data],4,FALSE))</f>
        <v>132</v>
      </c>
      <c r="O251" s="49">
        <f>VLOOKUP(22394,[1]!qryExcelSlab[#Data],5,FALSE)</f>
        <v>0</v>
      </c>
      <c r="P251" s="90">
        <f>IF(O251=0,0,VLOOKUP(22394,[1]!qryExcelSlab[#Data],4,FALSE))</f>
        <v>0</v>
      </c>
      <c r="Q251" s="49">
        <f>VLOOKUP(22393,[1]!qryExcelSlab[#Data],5,FALSE)</f>
        <v>0</v>
      </c>
      <c r="R251" s="51">
        <f>IF(Q251=0,0,VLOOKUP(22393,[1]!qryExcelSlab[#Data],4,FALSE))</f>
        <v>0</v>
      </c>
      <c r="S251" s="49">
        <f>VLOOKUP(22392,[1]!qryExcelSlab[#Data],5,FALSE)</f>
        <v>0</v>
      </c>
      <c r="T251" s="57" t="s">
        <v>24</v>
      </c>
    </row>
    <row r="252" spans="1:21" s="3" customFormat="1" ht="18" customHeight="1" x14ac:dyDescent="0.25">
      <c r="A252" s="28"/>
      <c r="B252" s="73"/>
      <c r="C252" s="74"/>
      <c r="D252" s="75"/>
      <c r="E252" s="76"/>
      <c r="F252" s="103"/>
      <c r="G252" s="80"/>
      <c r="H252" s="79"/>
      <c r="I252" s="78"/>
      <c r="J252" s="81"/>
      <c r="K252" s="95"/>
      <c r="L252" s="83"/>
      <c r="M252" s="78"/>
      <c r="N252" s="104"/>
      <c r="O252" s="78"/>
      <c r="P252" s="83"/>
      <c r="Q252" s="78"/>
      <c r="R252" s="81"/>
      <c r="S252" s="78"/>
      <c r="T252" s="86"/>
    </row>
    <row r="253" spans="1:21" s="3" customFormat="1" ht="18" customHeight="1" thickBot="1" x14ac:dyDescent="0.3">
      <c r="A253" s="43" t="s">
        <v>263</v>
      </c>
      <c r="B253" s="44" t="s">
        <v>264</v>
      </c>
      <c r="C253" s="45"/>
      <c r="D253" s="46"/>
      <c r="E253" s="92" t="s">
        <v>234</v>
      </c>
      <c r="F253" s="88">
        <v>10</v>
      </c>
      <c r="G253" s="49">
        <f>VLOOKUP(30049,[1]!qryExcelSlab[#Data],5,FALSE)</f>
        <v>5</v>
      </c>
      <c r="H253" s="89">
        <f>VLOOKUP(30049,[1]!qryExcelSlab[#Data],4,FALSE)</f>
        <v>0</v>
      </c>
      <c r="I253" s="49">
        <f>VLOOKUP(19092,[1]!qryExcelSlab[#Data],5,FALSE)</f>
        <v>7</v>
      </c>
      <c r="J253" s="51">
        <f>IF(I253=0,0,VLOOKUP(19092,[1]!qryExcelSlab[#Data],4,FALSE))</f>
        <v>88</v>
      </c>
      <c r="K253" s="52">
        <f>VLOOKUP(19090,[1]!qryExcelSlab[#Data],5,FALSE)</f>
        <v>20</v>
      </c>
      <c r="L253" s="90">
        <f>IF(K253=0,0,VLOOKUP(19090,[1]!qryExcelSlab[#Data],4,FALSE))</f>
        <v>108</v>
      </c>
      <c r="M253" s="49">
        <f>VLOOKUP(19088,[1]!qryExcelSlab[#Data],5,FALSE)</f>
        <v>17</v>
      </c>
      <c r="N253" s="91">
        <f>IF(M253=0,0,VLOOKUP(19088,[1]!qryExcelSlab[#Data],4,FALSE))</f>
        <v>123</v>
      </c>
      <c r="O253" s="49">
        <f>VLOOKUP(19086,[1]!qryExcelSlab[#Data],5,FALSE)</f>
        <v>0</v>
      </c>
      <c r="P253" s="90">
        <f>IF(O253=0,0,VLOOKUP(19086,[1]!qryExcelSlab[#Data],4,FALSE))</f>
        <v>0</v>
      </c>
      <c r="Q253" s="49">
        <f>VLOOKUP(19085,[1]!qryExcelSlab[#Data],5,FALSE)</f>
        <v>0</v>
      </c>
      <c r="R253" s="51">
        <f>IF(Q253=0,0,VLOOKUP(19085,[1]!qryExcelSlab[#Data],4,FALSE))</f>
        <v>0</v>
      </c>
      <c r="S253" s="49">
        <f>VLOOKUP(19084,[1]!qryExcelSlab[#Data],5,FALSE)</f>
        <v>0</v>
      </c>
      <c r="T253" s="57" t="s">
        <v>24</v>
      </c>
      <c r="U253" s="3" t="s">
        <v>3</v>
      </c>
    </row>
    <row r="254" spans="1:21" s="3" customFormat="1" ht="43.5" customHeight="1" thickTop="1" thickBot="1" x14ac:dyDescent="0.3">
      <c r="A254" s="304"/>
      <c r="B254" s="407"/>
      <c r="C254" s="377"/>
      <c r="D254" s="407"/>
      <c r="E254" s="408"/>
      <c r="F254" s="220" t="s">
        <v>83</v>
      </c>
      <c r="G254" s="21" t="s">
        <v>5</v>
      </c>
      <c r="H254" s="22"/>
      <c r="I254" s="275" t="s">
        <v>6</v>
      </c>
      <c r="J254" s="283"/>
      <c r="K254" s="284" t="s">
        <v>7</v>
      </c>
      <c r="L254" s="25"/>
      <c r="M254" s="275" t="s">
        <v>8</v>
      </c>
      <c r="N254" s="283"/>
      <c r="O254" s="275" t="s">
        <v>9</v>
      </c>
      <c r="P254" s="283"/>
      <c r="Q254" s="275" t="s">
        <v>10</v>
      </c>
      <c r="R254" s="283"/>
      <c r="S254" s="27" t="s">
        <v>11</v>
      </c>
      <c r="T254" s="27"/>
    </row>
    <row r="255" spans="1:21" s="3" customFormat="1" ht="18" customHeight="1" thickTop="1" x14ac:dyDescent="0.25">
      <c r="A255" s="304"/>
      <c r="B255" s="407"/>
      <c r="C255" s="377"/>
      <c r="D255" s="407"/>
      <c r="E255" s="378"/>
      <c r="F255" s="185"/>
      <c r="G255" s="352"/>
      <c r="H255" s="5"/>
      <c r="I255" s="352"/>
      <c r="J255" s="409"/>
      <c r="K255" s="135"/>
      <c r="L255" s="136"/>
      <c r="M255" s="352"/>
      <c r="N255" s="137"/>
      <c r="O255" s="352"/>
      <c r="P255" s="134"/>
      <c r="Q255" s="352"/>
      <c r="R255" s="409"/>
      <c r="S255" s="352"/>
      <c r="T255" s="410"/>
    </row>
    <row r="256" spans="1:21" s="3" customFormat="1" ht="18" customHeight="1" x14ac:dyDescent="0.25">
      <c r="A256" s="43" t="s">
        <v>265</v>
      </c>
      <c r="B256" s="44" t="s">
        <v>266</v>
      </c>
      <c r="C256" s="45"/>
      <c r="D256" s="46"/>
      <c r="E256" s="92" t="s">
        <v>234</v>
      </c>
      <c r="F256" s="88">
        <v>11</v>
      </c>
      <c r="G256" s="56">
        <f>VLOOKUP(30249,[1]!qryExcelSlab[#Data],5,FALSE)</f>
        <v>0</v>
      </c>
      <c r="H256" s="89">
        <f>VLOOKUP(30249,[1]!qryExcelSlab[#Data],4,FALSE)</f>
        <v>0</v>
      </c>
      <c r="I256" s="49">
        <f>VLOOKUP(22403,[1]!qryExcelSlab[#Data],5,FALSE)</f>
        <v>0</v>
      </c>
      <c r="J256" s="51">
        <f>IF(I256=0,0,VLOOKUP(22403,[1]!qryExcelSlab[#Data],4,FALSE))</f>
        <v>0</v>
      </c>
      <c r="K256" s="52">
        <f>VLOOKUP(22402,[1]!qryExcelSlab[#Data],5,FALSE)</f>
        <v>0</v>
      </c>
      <c r="L256" s="90">
        <f>IF(K256=0,0,VLOOKUP(22402,[1]!qryExcelSlab[#Data],4,FALSE))</f>
        <v>0</v>
      </c>
      <c r="M256" s="49">
        <f>VLOOKUP(22401,[1]!qryExcelSlab[#Data],5,FALSE)</f>
        <v>0</v>
      </c>
      <c r="N256" s="91">
        <f>IF(M256=0,0,VLOOKUP(22401,[1]!qryExcelSlab[#Data],4,FALSE))</f>
        <v>0</v>
      </c>
      <c r="O256" s="49">
        <f>VLOOKUP(22400,[1]!qryExcelSlab[#Data],5,FALSE)</f>
        <v>0</v>
      </c>
      <c r="P256" s="90">
        <f>IF(O256=0,0,VLOOKUP(22400,[1]!qryExcelSlab[#Data],4,FALSE))</f>
        <v>0</v>
      </c>
      <c r="Q256" s="49">
        <f>VLOOKUP(22399,[1]!qryExcelSlab[#Data],5,FALSE)</f>
        <v>0</v>
      </c>
      <c r="R256" s="51">
        <f>IF(Q256=0,0,VLOOKUP(22399,[1]!qryExcelSlab[#Data],4,FALSE))</f>
        <v>0</v>
      </c>
      <c r="S256" s="49">
        <f>VLOOKUP(22398,[1]!qryExcelSlab[#Data],5,FALSE)</f>
        <v>0</v>
      </c>
      <c r="T256" s="57" t="s">
        <v>24</v>
      </c>
    </row>
    <row r="257" spans="1:20" s="3" customFormat="1" ht="18" customHeight="1" x14ac:dyDescent="0.25">
      <c r="A257" s="28"/>
      <c r="B257" s="73"/>
      <c r="C257" s="74"/>
      <c r="D257" s="75"/>
      <c r="E257" s="76"/>
      <c r="F257" s="103"/>
      <c r="G257" s="80"/>
      <c r="H257" s="79"/>
      <c r="I257" s="78"/>
      <c r="J257" s="81"/>
      <c r="K257" s="95"/>
      <c r="L257" s="83"/>
      <c r="M257" s="78"/>
      <c r="N257" s="104"/>
      <c r="O257" s="78"/>
      <c r="P257" s="83"/>
      <c r="Q257" s="78"/>
      <c r="R257" s="81"/>
      <c r="S257" s="78"/>
      <c r="T257" s="86"/>
    </row>
    <row r="258" spans="1:20" s="3" customFormat="1" ht="18" customHeight="1" x14ac:dyDescent="0.25">
      <c r="A258" s="43" t="s">
        <v>267</v>
      </c>
      <c r="B258" s="44" t="s">
        <v>268</v>
      </c>
      <c r="C258" s="45"/>
      <c r="D258" s="46"/>
      <c r="E258" s="92" t="s">
        <v>234</v>
      </c>
      <c r="F258" s="88">
        <v>13</v>
      </c>
      <c r="G258" s="56"/>
      <c r="H258" s="89"/>
      <c r="I258" s="49">
        <f>VLOOKUP(22446,[1]!qryExcelSlab[#Data],5,FALSE)</f>
        <v>2</v>
      </c>
      <c r="J258" s="51">
        <f>IF(I258=0,0,VLOOKUP(22446,[1]!qryExcelSlab[#Data],4,FALSE))</f>
        <v>110</v>
      </c>
      <c r="K258" s="52">
        <f>VLOOKUP(22445,[1]!qryExcelSlab[#Data],5,FALSE)</f>
        <v>5</v>
      </c>
      <c r="L258" s="90">
        <f>IF(K258=0,0,VLOOKUP(22445,[1]!qryExcelSlab[#Data],4,FALSE))</f>
        <v>138</v>
      </c>
      <c r="M258" s="49">
        <f>VLOOKUP(22444,[1]!qryExcelSlab[#Data],5,FALSE)</f>
        <v>0</v>
      </c>
      <c r="N258" s="91">
        <f>IF(M258=0,0,VLOOKUP(22444,[1]!qryExcelSlab[#Data],4,FALSE))</f>
        <v>0</v>
      </c>
      <c r="O258" s="49">
        <f>VLOOKUP(22443,[1]!qryExcelSlab[#Data],5,FALSE)</f>
        <v>0</v>
      </c>
      <c r="P258" s="90">
        <f>IF(O258=0,0,VLOOKUP(22443,[1]!qryExcelSlab[#Data],4,FALSE))</f>
        <v>0</v>
      </c>
      <c r="Q258" s="49">
        <f>VLOOKUP(22442,[1]!qryExcelSlab[#Data],5,FALSE)</f>
        <v>0</v>
      </c>
      <c r="R258" s="51">
        <f>IF(Q258=0,0,VLOOKUP(22442,[1]!qryExcelSlab[#Data],4,FALSE))</f>
        <v>0</v>
      </c>
      <c r="S258" s="49">
        <f>VLOOKUP(22441,[1]!qryExcelSlab[#Data],5,FALSE)</f>
        <v>0</v>
      </c>
      <c r="T258" s="57" t="s">
        <v>24</v>
      </c>
    </row>
    <row r="259" spans="1:20" s="3" customFormat="1" ht="18" customHeight="1" x14ac:dyDescent="0.25">
      <c r="A259" s="28"/>
      <c r="B259" s="73"/>
      <c r="C259" s="74"/>
      <c r="D259" s="75"/>
      <c r="E259" s="76"/>
      <c r="F259" s="103"/>
      <c r="G259" s="80"/>
      <c r="H259" s="79"/>
      <c r="I259" s="78"/>
      <c r="J259" s="81"/>
      <c r="K259" s="95"/>
      <c r="L259" s="83"/>
      <c r="M259" s="78"/>
      <c r="N259" s="104"/>
      <c r="O259" s="78"/>
      <c r="P259" s="83"/>
      <c r="Q259" s="78"/>
      <c r="R259" s="81"/>
      <c r="S259" s="78"/>
      <c r="T259" s="86"/>
    </row>
    <row r="260" spans="1:20" s="3" customFormat="1" ht="18" customHeight="1" x14ac:dyDescent="0.25">
      <c r="A260" s="43" t="s">
        <v>269</v>
      </c>
      <c r="B260" s="44" t="s">
        <v>270</v>
      </c>
      <c r="C260" s="45"/>
      <c r="D260" s="46"/>
      <c r="E260" s="92" t="s">
        <v>234</v>
      </c>
      <c r="F260" s="88">
        <v>11</v>
      </c>
      <c r="G260" s="49">
        <f>VLOOKUP(30051,[1]!qryExcelSlab[#Data],5,FALSE)</f>
        <v>0</v>
      </c>
      <c r="H260" s="89">
        <f>IF(G260=0,0,5)</f>
        <v>0</v>
      </c>
      <c r="I260" s="49">
        <f>VLOOKUP(19110,[1]!qryExcelSlab[#Data],5,FALSE)</f>
        <v>0</v>
      </c>
      <c r="J260" s="51" t="str">
        <f>IF(I260=0,"",VLOOKUP(19110,[1]!qryExcelSlab[#Data],4,FALSE))</f>
        <v/>
      </c>
      <c r="K260" s="52">
        <f>VLOOKUP(19108,[1]!qryExcelSlab[#Data],5,FALSE)</f>
        <v>31</v>
      </c>
      <c r="L260" s="90">
        <f>IF(K260=0,0,VLOOKUP(19108,[1]!qryExcelSlab[#Data],4,FALSE))</f>
        <v>118</v>
      </c>
      <c r="M260" s="49">
        <f>VLOOKUP(19106,[1]!qryExcelSlab[#Data],5,FALSE)</f>
        <v>18</v>
      </c>
      <c r="N260" s="91">
        <f>IF(M260=0,0,VLOOKUP(19106,[1]!qryExcelSlab[#Data],4,FALSE))</f>
        <v>132</v>
      </c>
      <c r="O260" s="49">
        <f>VLOOKUP(19104,[1]!qryExcelSlab[#Data],5,FALSE)</f>
        <v>26</v>
      </c>
      <c r="P260" s="90">
        <f>IF(O260=0,0,VLOOKUP(19104,[1]!qryExcelSlab[#Data],4,FALSE))</f>
        <v>148</v>
      </c>
      <c r="Q260" s="49">
        <f>VLOOKUP(19103,[1]!qryExcelSlab[#Data],5,FALSE)</f>
        <v>0</v>
      </c>
      <c r="R260" s="51">
        <f>IF(Q260=0,0,VLOOKUP(19103,[1]!qryExcelSlab[#Data],4,FALSE))</f>
        <v>0</v>
      </c>
      <c r="S260" s="49">
        <f>VLOOKUP(19102,[1]!qryExcelSlab[#Data],5,FALSE)</f>
        <v>0</v>
      </c>
      <c r="T260" s="411" t="s">
        <v>24</v>
      </c>
    </row>
    <row r="261" spans="1:20" s="3" customFormat="1" ht="18" customHeight="1" x14ac:dyDescent="0.25">
      <c r="A261" s="102"/>
      <c r="B261" s="73"/>
      <c r="C261" s="74"/>
      <c r="D261" s="75"/>
      <c r="E261" s="76"/>
      <c r="F261" s="103"/>
      <c r="G261" s="78"/>
      <c r="H261" s="79"/>
      <c r="I261" s="78"/>
      <c r="J261" s="81"/>
      <c r="K261" s="95"/>
      <c r="L261" s="83"/>
      <c r="M261" s="78"/>
      <c r="N261" s="104"/>
      <c r="O261" s="78"/>
      <c r="P261" s="83"/>
      <c r="Q261" s="78"/>
      <c r="R261" s="81"/>
      <c r="S261" s="78"/>
      <c r="T261" s="86"/>
    </row>
    <row r="262" spans="1:20" s="3" customFormat="1" ht="18" customHeight="1" x14ac:dyDescent="0.25">
      <c r="A262" s="412" t="s">
        <v>271</v>
      </c>
      <c r="B262" s="44" t="s">
        <v>272</v>
      </c>
      <c r="C262" s="45"/>
      <c r="D262" s="46"/>
      <c r="E262" s="92" t="s">
        <v>234</v>
      </c>
      <c r="F262" s="88">
        <v>13</v>
      </c>
      <c r="G262" s="56"/>
      <c r="H262" s="89"/>
      <c r="I262" s="49">
        <f>VLOOKUP(30375,[1]!qryExcelSlab[#Data],5,FALSE)</f>
        <v>0</v>
      </c>
      <c r="J262" s="51">
        <f>IF(I262=0,0,VLOOKUP(30375,[1]!qryExcelSlab[#Data],4,FALSE))</f>
        <v>0</v>
      </c>
      <c r="K262" s="52"/>
      <c r="L262" s="90" t="s">
        <v>3</v>
      </c>
      <c r="M262" s="49"/>
      <c r="N262" s="91" t="s">
        <v>3</v>
      </c>
      <c r="O262" s="49"/>
      <c r="P262" s="90" t="s">
        <v>3</v>
      </c>
      <c r="Q262" s="49"/>
      <c r="R262" s="51" t="s">
        <v>3</v>
      </c>
      <c r="S262" s="49"/>
      <c r="T262" s="57" t="s">
        <v>24</v>
      </c>
    </row>
    <row r="263" spans="1:20" s="3" customFormat="1" ht="18" customHeight="1" x14ac:dyDescent="0.25">
      <c r="A263" s="102"/>
      <c r="B263" s="73"/>
      <c r="C263" s="74"/>
      <c r="D263" s="75"/>
      <c r="E263" s="76"/>
      <c r="F263" s="103"/>
      <c r="G263" s="78"/>
      <c r="H263" s="79"/>
      <c r="I263" s="78"/>
      <c r="J263" s="81"/>
      <c r="K263" s="95"/>
      <c r="L263" s="83"/>
      <c r="M263" s="78"/>
      <c r="N263" s="104"/>
      <c r="O263" s="78"/>
      <c r="P263" s="83"/>
      <c r="Q263" s="78"/>
      <c r="R263" s="81"/>
      <c r="S263" s="78"/>
      <c r="T263" s="86"/>
    </row>
    <row r="264" spans="1:20" s="3" customFormat="1" ht="18" customHeight="1" x14ac:dyDescent="0.25">
      <c r="A264" s="412" t="s">
        <v>273</v>
      </c>
      <c r="B264" s="44" t="s">
        <v>274</v>
      </c>
      <c r="C264" s="45"/>
      <c r="D264" s="46"/>
      <c r="E264" s="92" t="s">
        <v>234</v>
      </c>
      <c r="F264" s="88">
        <v>11</v>
      </c>
      <c r="G264" s="49"/>
      <c r="H264" s="89"/>
      <c r="I264" s="49">
        <f>VLOOKUP(22409,[1]!qryExcelSlab[#Data],5,FALSE)</f>
        <v>12</v>
      </c>
      <c r="J264" s="51">
        <f>IF(I264=0,0,VLOOKUP(22409,[1]!qryExcelSlab[#Data],4,FALSE))</f>
        <v>98</v>
      </c>
      <c r="K264" s="52">
        <f>VLOOKUP(22408,[1]!qryExcelSlab[#Data],5,FALSE)</f>
        <v>3</v>
      </c>
      <c r="L264" s="90">
        <f>IF(K264=0,0,VLOOKUP(22408,[1]!qryExcelSlab[#Data],4,FALSE))</f>
        <v>118</v>
      </c>
      <c r="M264" s="49">
        <f>VLOOKUP(22407,[1]!qryExcelSlab[#Data],5,FALSE)</f>
        <v>1</v>
      </c>
      <c r="N264" s="91">
        <f>IF(M264=0,0,VLOOKUP(22407,[1]!qryExcelSlab[#Data],4,FALSE))</f>
        <v>132</v>
      </c>
      <c r="O264" s="49">
        <f>VLOOKUP(22406,[1]!qryExcelSlab[#Data],5,FALSE)</f>
        <v>0</v>
      </c>
      <c r="P264" s="90">
        <f>IF(O264=0,0,VLOOKUP(22406,[1]!qryExcelSlab[#Data],4,FALSE))</f>
        <v>0</v>
      </c>
      <c r="Q264" s="49">
        <f>VLOOKUP(22405,[1]!qryExcelSlab[#Data],5,FALSE)</f>
        <v>0</v>
      </c>
      <c r="R264" s="51">
        <f>IF(Q264=0,0,VLOOKUP(22405,[1]!qryExcelSlab[#Data],4,FALSE))</f>
        <v>0</v>
      </c>
      <c r="S264" s="49">
        <f>VLOOKUP(22404,[1]!qryExcelSlab[#Data],5,FALSE)</f>
        <v>0</v>
      </c>
      <c r="T264" s="57" t="s">
        <v>24</v>
      </c>
    </row>
    <row r="265" spans="1:20" s="3" customFormat="1" ht="18" customHeight="1" x14ac:dyDescent="0.25">
      <c r="A265" s="28"/>
      <c r="B265" s="73"/>
      <c r="C265" s="74"/>
      <c r="D265" s="75"/>
      <c r="E265" s="76"/>
      <c r="F265" s="103"/>
      <c r="G265" s="80"/>
      <c r="H265" s="79"/>
      <c r="I265" s="78"/>
      <c r="J265" s="81"/>
      <c r="K265" s="95"/>
      <c r="L265" s="83"/>
      <c r="M265" s="78"/>
      <c r="N265" s="104"/>
      <c r="O265" s="78"/>
      <c r="P265" s="83"/>
      <c r="Q265" s="78"/>
      <c r="R265" s="81"/>
      <c r="S265" s="78"/>
      <c r="T265" s="86"/>
    </row>
    <row r="266" spans="1:20" s="3" customFormat="1" ht="18" customHeight="1" x14ac:dyDescent="0.25">
      <c r="A266" s="412" t="s">
        <v>261</v>
      </c>
      <c r="B266" s="44" t="s">
        <v>275</v>
      </c>
      <c r="C266" s="45"/>
      <c r="D266" s="46"/>
      <c r="E266" s="92" t="s">
        <v>234</v>
      </c>
      <c r="F266" s="88">
        <v>11</v>
      </c>
      <c r="G266" s="49"/>
      <c r="H266" s="89"/>
      <c r="I266" s="49">
        <f>VLOOKUP(22397,[1]!qryExcelSlab[#Data],5,FALSE)</f>
        <v>1</v>
      </c>
      <c r="J266" s="51">
        <f>IF(I266=0,0,VLOOKUP(22397,[1]!qryExcelSlab[#Data],4,FALSE))</f>
        <v>98</v>
      </c>
      <c r="K266" s="52">
        <f>VLOOKUP(22396,[1]!qryExcelSlab[#Data],5,FALSE)</f>
        <v>5</v>
      </c>
      <c r="L266" s="90">
        <f>IF(K266=0,0,VLOOKUP(22396,[1]!qryExcelSlab[#Data],4,FALSE))</f>
        <v>118</v>
      </c>
      <c r="M266" s="49">
        <f>VLOOKUP(22395,[1]!qryExcelSlab[#Data],5,FALSE)</f>
        <v>3</v>
      </c>
      <c r="N266" s="91">
        <f>IF(M266=0,0,VLOOKUP(22395,[1]!qryExcelSlab[#Data],4,FALSE))</f>
        <v>132</v>
      </c>
      <c r="O266" s="49">
        <f>VLOOKUP(22394,[1]!qryExcelSlab[#Data],5,FALSE)</f>
        <v>0</v>
      </c>
      <c r="P266" s="90">
        <f>IF(O266=0,0,VLOOKUP(22394,[1]!qryExcelSlab[#Data],4,FALSE))</f>
        <v>0</v>
      </c>
      <c r="Q266" s="49">
        <f>VLOOKUP(22393,[1]!qryExcelSlab[#Data],5,FALSE)</f>
        <v>0</v>
      </c>
      <c r="R266" s="51">
        <f>IF(Q266=0,0,VLOOKUP(22393,[1]!qryExcelSlab[#Data],4,FALSE))</f>
        <v>0</v>
      </c>
      <c r="S266" s="49">
        <f>VLOOKUP(22392,[1]!qryExcelSlab[#Data],5,FALSE)</f>
        <v>0</v>
      </c>
      <c r="T266" s="57" t="s">
        <v>24</v>
      </c>
    </row>
    <row r="267" spans="1:20" s="3" customFormat="1" ht="18" customHeight="1" x14ac:dyDescent="0.25">
      <c r="A267" s="28"/>
      <c r="B267" s="73"/>
      <c r="C267" s="74"/>
      <c r="D267" s="75"/>
      <c r="E267" s="76"/>
      <c r="F267" s="103"/>
      <c r="G267" s="80"/>
      <c r="H267" s="79"/>
      <c r="I267" s="78"/>
      <c r="J267" s="81"/>
      <c r="K267" s="95"/>
      <c r="L267" s="83"/>
      <c r="M267" s="78"/>
      <c r="N267" s="104"/>
      <c r="O267" s="78"/>
      <c r="P267" s="83"/>
      <c r="Q267" s="78"/>
      <c r="R267" s="81"/>
      <c r="S267" s="78" t="s">
        <v>3</v>
      </c>
      <c r="T267" s="86"/>
    </row>
    <row r="268" spans="1:20" s="3" customFormat="1" ht="18" customHeight="1" x14ac:dyDescent="0.25">
      <c r="A268" s="43" t="s">
        <v>276</v>
      </c>
      <c r="B268" s="44" t="s">
        <v>193</v>
      </c>
      <c r="C268" s="45"/>
      <c r="D268" s="46"/>
      <c r="E268" s="92" t="s">
        <v>234</v>
      </c>
      <c r="F268" s="88">
        <v>10</v>
      </c>
      <c r="G268" s="49">
        <f>VLOOKUP(23746,[1]!qryExcelSlab[#Data],5,FALSE)</f>
        <v>1</v>
      </c>
      <c r="H268" s="89">
        <f>VLOOKUP(23746,[1]!qryExcelSlab[#Data],4,FALSE)</f>
        <v>0</v>
      </c>
      <c r="I268" s="49">
        <f>VLOOKUP(19101,[1]!qryExcelSlab[#Data],5,FALSE)</f>
        <v>0</v>
      </c>
      <c r="J268" s="51">
        <f>IF(I268=0,0,VLOOKUP(19101,[1]!qryExcelSlab[#Data],4,FALSE))</f>
        <v>0</v>
      </c>
      <c r="K268" s="52">
        <f>VLOOKUP(19099,[1]!qryExcelSlab[#Data],5,FALSE)</f>
        <v>18</v>
      </c>
      <c r="L268" s="90">
        <f>IF(K268=0,0,VLOOKUP(19099,[1]!qryExcelSlab[#Data],4,FALSE))</f>
        <v>108</v>
      </c>
      <c r="M268" s="49">
        <f>VLOOKUP(19097,[1]!qryExcelSlab[#Data],5,FALSE)</f>
        <v>84</v>
      </c>
      <c r="N268" s="91">
        <f>IF(M268=0,0,VLOOKUP(19097,[1]!qryExcelSlab[#Data],4,FALSE))</f>
        <v>123</v>
      </c>
      <c r="O268" s="49">
        <f>VLOOKUP(19095,[1]!qryExcelSlab[#Data],5,FALSE)</f>
        <v>31</v>
      </c>
      <c r="P268" s="90">
        <f>IF(O268=0,0,VLOOKUP(19095,[1]!qryExcelSlab[#Data],4,FALSE))</f>
        <v>138</v>
      </c>
      <c r="Q268" s="49">
        <f>VLOOKUP(19094,[1]!qryExcelSlab[#Data],5,FALSE)</f>
        <v>0</v>
      </c>
      <c r="R268" s="51">
        <f>IF(Q268=0,0,VLOOKUP(19094,[1]!qryExcelSlab[#Data],4,FALSE))</f>
        <v>0</v>
      </c>
      <c r="S268" s="49">
        <f>VLOOKUP(19093,[1]!qryExcelSlab[#Data],5,FALSE)</f>
        <v>0</v>
      </c>
      <c r="T268" s="413" t="s">
        <v>24</v>
      </c>
    </row>
    <row r="269" spans="1:20" s="3" customFormat="1" ht="18" customHeight="1" x14ac:dyDescent="0.25">
      <c r="A269" s="28"/>
      <c r="B269" s="73"/>
      <c r="C269" s="74"/>
      <c r="D269" s="75"/>
      <c r="E269" s="76"/>
      <c r="F269" s="103"/>
      <c r="G269" s="80"/>
      <c r="H269" s="79"/>
      <c r="I269" s="78"/>
      <c r="J269" s="81"/>
      <c r="K269" s="95"/>
      <c r="L269" s="83"/>
      <c r="M269" s="78"/>
      <c r="N269" s="104"/>
      <c r="O269" s="78"/>
      <c r="P269" s="83"/>
      <c r="Q269" s="78"/>
      <c r="R269" s="81"/>
      <c r="S269" s="78"/>
      <c r="T269" s="86"/>
    </row>
    <row r="270" spans="1:20" s="3" customFormat="1" ht="18" customHeight="1" x14ac:dyDescent="0.25">
      <c r="A270" s="43" t="s">
        <v>277</v>
      </c>
      <c r="B270" s="44" t="s">
        <v>175</v>
      </c>
      <c r="C270" s="45"/>
      <c r="D270" s="46"/>
      <c r="E270" s="92" t="s">
        <v>103</v>
      </c>
      <c r="F270" s="88">
        <v>9</v>
      </c>
      <c r="G270" s="49">
        <f>VLOOKUP(30055,[1]!qryExcelSlab[#Data],5,FALSE)</f>
        <v>1</v>
      </c>
      <c r="H270" s="89">
        <f>VLOOKUP(30055,[1]!qryExcelSlab[#Data],4,FALSE)</f>
        <v>0</v>
      </c>
      <c r="I270" s="49">
        <f>VLOOKUP(17932,[1]!qryExcelSlab[#Data],5,FALSE)</f>
        <v>5</v>
      </c>
      <c r="J270" s="51">
        <f>IF(I270=0,0,VLOOKUP(17932,[1]!qryExcelSlab[#Data],4,FALSE))</f>
        <v>83</v>
      </c>
      <c r="K270" s="52">
        <f>VLOOKUP(23157,[1]!qryExcelSlab[#Data],5,FALSE)</f>
        <v>19</v>
      </c>
      <c r="L270" s="90">
        <f>IF(K270=0,0,VLOOKUP(23157,[1]!qryExcelSlab[#Data],4,FALSE))</f>
        <v>95</v>
      </c>
      <c r="M270" s="49">
        <f>VLOOKUP(23156,[1]!qryExcelSlab[#Data],5,FALSE)</f>
        <v>8</v>
      </c>
      <c r="N270" s="91">
        <f>IF(M270=0,0,VLOOKUP(23156,[1]!qryExcelSlab[#Data],4,FALSE))</f>
        <v>109</v>
      </c>
      <c r="O270" s="49">
        <f>VLOOKUP(23155,[1]!qryExcelSlab[#Data],5,FALSE)</f>
        <v>15</v>
      </c>
      <c r="P270" s="90">
        <f>IF(O270=0,0,VLOOKUP(23155,[1]!qryExcelSlab[#Data],4,FALSE))</f>
        <v>125</v>
      </c>
      <c r="Q270" s="49"/>
      <c r="R270" s="51" t="s">
        <v>3</v>
      </c>
      <c r="S270" s="49">
        <v>0</v>
      </c>
      <c r="T270" s="57" t="s">
        <v>24</v>
      </c>
    </row>
    <row r="271" spans="1:20" s="3" customFormat="1" ht="18" customHeight="1" x14ac:dyDescent="0.25">
      <c r="A271" s="259" t="s">
        <v>277</v>
      </c>
      <c r="B271" s="44" t="s">
        <v>175</v>
      </c>
      <c r="C271" s="45"/>
      <c r="D271" s="46"/>
      <c r="E271" s="92" t="s">
        <v>234</v>
      </c>
      <c r="F271" s="88">
        <v>9</v>
      </c>
      <c r="G271" s="49"/>
      <c r="H271" s="89" t="s">
        <v>3</v>
      </c>
      <c r="I271" s="49"/>
      <c r="J271" s="51" t="s">
        <v>3</v>
      </c>
      <c r="K271" s="52">
        <f>VLOOKUP(19766,[1]!qryExcelSlab[#Data],5,FALSE)</f>
        <v>7</v>
      </c>
      <c r="L271" s="90">
        <f>IF(K271=0,0,VLOOKUP(19766,[1]!qryExcelSlab[#Data],4,FALSE))</f>
        <v>95</v>
      </c>
      <c r="M271" s="49">
        <f>VLOOKUP(19165,[1]!qryExcelSlab[#Data],5,FALSE)</f>
        <v>13</v>
      </c>
      <c r="N271" s="91">
        <f>IF(M271=0,0,VLOOKUP(19165,[1]!qryExcelSlab[#Data],4,FALSE))</f>
        <v>109</v>
      </c>
      <c r="O271" s="49">
        <f>VLOOKUP(19163,[1]!qryExcelSlab[#Data],5,FALSE)</f>
        <v>6</v>
      </c>
      <c r="P271" s="90">
        <f>IF(O271=0,0,VLOOKUP(19163,[1]!qryExcelSlab[#Data],4,FALSE))</f>
        <v>125</v>
      </c>
      <c r="Q271" s="49">
        <f>VLOOKUP(19162,[1]!qryExcelSlab[#Data],5,FALSE)</f>
        <v>0</v>
      </c>
      <c r="R271" s="51">
        <f>IF(Q271=0,0,VLOOKUP(19162,[1]!qryExcelSlab[#Data],4,FALSE))</f>
        <v>0</v>
      </c>
      <c r="S271" s="49">
        <v>0</v>
      </c>
      <c r="T271" s="57" t="s">
        <v>24</v>
      </c>
    </row>
    <row r="272" spans="1:20" s="3" customFormat="1" ht="18" customHeight="1" x14ac:dyDescent="0.25">
      <c r="A272" s="28"/>
      <c r="B272" s="73"/>
      <c r="C272" s="74"/>
      <c r="D272" s="75"/>
      <c r="E272" s="76"/>
      <c r="F272" s="103"/>
      <c r="G272" s="80"/>
      <c r="H272" s="79"/>
      <c r="I272" s="78"/>
      <c r="J272" s="81"/>
      <c r="K272" s="95"/>
      <c r="L272" s="83"/>
      <c r="M272" s="78"/>
      <c r="N272" s="104"/>
      <c r="O272" s="78"/>
      <c r="P272" s="83"/>
      <c r="Q272" s="78"/>
      <c r="R272" s="81"/>
      <c r="S272" s="78"/>
      <c r="T272" s="86"/>
    </row>
    <row r="273" spans="1:25" s="3" customFormat="1" ht="18" customHeight="1" x14ac:dyDescent="0.25">
      <c r="A273" s="43" t="s">
        <v>278</v>
      </c>
      <c r="B273" s="44" t="s">
        <v>279</v>
      </c>
      <c r="C273" s="45"/>
      <c r="D273" s="46"/>
      <c r="E273" s="92" t="s">
        <v>234</v>
      </c>
      <c r="F273" s="88">
        <v>11</v>
      </c>
      <c r="G273" s="56"/>
      <c r="H273" s="89"/>
      <c r="I273" s="49">
        <f>VLOOKUP(22415,[1]!qryExcelSlab[#Data],5,FALSE)</f>
        <v>1</v>
      </c>
      <c r="J273" s="51">
        <f>IF(I273=0,0,VLOOKUP(22415,[1]!qryExcelSlab[#Data],4,FALSE))</f>
        <v>98</v>
      </c>
      <c r="K273" s="52">
        <f>VLOOKUP(22414,[1]!qryExcelSlab[#Data],5,FALSE)</f>
        <v>3</v>
      </c>
      <c r="L273" s="90">
        <f>IF(K273=0,0,VLOOKUP(22414,[1]!qryExcelSlab[#Data],4,FALSE))</f>
        <v>118</v>
      </c>
      <c r="M273" s="49">
        <f>VLOOKUP(22413,[1]!qryExcelSlab[#Data],5,FALSE)</f>
        <v>29</v>
      </c>
      <c r="N273" s="91">
        <f>IF(M273=0,0,VLOOKUP(22413,[1]!qryExcelSlab[#Data],4,FALSE))</f>
        <v>132</v>
      </c>
      <c r="O273" s="49">
        <f>VLOOKUP(22412,[1]!qryExcelSlab[#Data],5,FALSE)</f>
        <v>0</v>
      </c>
      <c r="P273" s="90">
        <f>IF(O273=0,0,VLOOKUP(22412,[1]!qryExcelSlab[#Data],4,FALSE))</f>
        <v>0</v>
      </c>
      <c r="Q273" s="49">
        <f>VLOOKUP(22411,[1]!qryExcelSlab[#Data],5,FALSE)</f>
        <v>0</v>
      </c>
      <c r="R273" s="51">
        <f>IF(Q273=0,0,VLOOKUP(22411,[1]!qryExcelSlab[#Data],4,FALSE))</f>
        <v>0</v>
      </c>
      <c r="S273" s="49">
        <f>VLOOKUP(22410,[1]!qryExcelSlab[#Data],5,FALSE)</f>
        <v>0</v>
      </c>
      <c r="T273" s="413" t="s">
        <v>24</v>
      </c>
    </row>
    <row r="274" spans="1:25" s="3" customFormat="1" ht="18" customHeight="1" x14ac:dyDescent="0.25">
      <c r="A274" s="28"/>
      <c r="B274" s="73"/>
      <c r="C274" s="74"/>
      <c r="D274" s="75"/>
      <c r="E274" s="76"/>
      <c r="F274" s="103"/>
      <c r="G274" s="80"/>
      <c r="H274" s="79"/>
      <c r="I274" s="78"/>
      <c r="J274" s="81"/>
      <c r="K274" s="95"/>
      <c r="L274" s="83"/>
      <c r="M274" s="78"/>
      <c r="N274" s="104"/>
      <c r="O274" s="78"/>
      <c r="P274" s="83"/>
      <c r="Q274" s="78"/>
      <c r="R274" s="81"/>
      <c r="S274" s="78"/>
      <c r="T274" s="86"/>
    </row>
    <row r="275" spans="1:25" s="3" customFormat="1" ht="18" customHeight="1" x14ac:dyDescent="0.25">
      <c r="A275" s="43" t="s">
        <v>280</v>
      </c>
      <c r="B275" s="44" t="s">
        <v>281</v>
      </c>
      <c r="C275" s="45"/>
      <c r="D275" s="46"/>
      <c r="E275" s="92" t="s">
        <v>103</v>
      </c>
      <c r="F275" s="88">
        <v>10</v>
      </c>
      <c r="G275" s="49">
        <f>VLOOKUP(30641,[1]!qryExcelSlab[#Data],5,FALSE)</f>
        <v>2</v>
      </c>
      <c r="H275" s="89">
        <f>VLOOKUP(30641,[1]!qryExcelSlab[#Data],4,FALSE)</f>
        <v>0</v>
      </c>
      <c r="I275" s="49">
        <f>VLOOKUP(30608,[1]!qryExcelSlab[#Data],5,FALSE)</f>
        <v>20</v>
      </c>
      <c r="J275" s="51">
        <f>IF(I275=0,0,VLOOKUP(30608,[1]!qryExcelSlab[#Data],4,FALSE))</f>
        <v>88</v>
      </c>
      <c r="K275" s="52">
        <f>VLOOKUP(19144,[1]!qryExcelSlab[#Data],5,FALSE)</f>
        <v>19</v>
      </c>
      <c r="L275" s="90">
        <f>IF(K275=0,0,VLOOKUP(19144,[1]!qryExcelSlab[#Data],4,FALSE))</f>
        <v>108</v>
      </c>
      <c r="M275" s="49">
        <f>VLOOKUP(19142,[1]!qryExcelSlab[#Data],5,FALSE)</f>
        <v>81</v>
      </c>
      <c r="N275" s="91">
        <f>IF(M275=0,0,VLOOKUP(19142,[1]!qryExcelSlab[#Data],4,FALSE))</f>
        <v>123</v>
      </c>
      <c r="O275" s="49">
        <f>VLOOKUP(19140,[1]!qryExcelSlab[#Data],5,FALSE)</f>
        <v>0</v>
      </c>
      <c r="P275" s="90">
        <f>IF(O275=0,0,VLOOKUP(19140,[1]!qryExcelSlab[#Data],4,FALSE))</f>
        <v>0</v>
      </c>
      <c r="Q275" s="49"/>
      <c r="R275" s="51" t="s">
        <v>3</v>
      </c>
      <c r="S275" s="49">
        <f>VLOOKUP(22500,[1]!qryExcelSlab[#Data],5,FALSE)</f>
        <v>0</v>
      </c>
      <c r="T275" s="413" t="s">
        <v>24</v>
      </c>
    </row>
    <row r="276" spans="1:25" s="3" customFormat="1" ht="18" customHeight="1" x14ac:dyDescent="0.25">
      <c r="A276" s="28"/>
      <c r="B276" s="73"/>
      <c r="C276" s="74"/>
      <c r="D276" s="75"/>
      <c r="E276" s="76"/>
      <c r="F276" s="103"/>
      <c r="G276" s="80"/>
      <c r="H276" s="79"/>
      <c r="I276" s="78"/>
      <c r="J276" s="81"/>
      <c r="K276" s="95"/>
      <c r="L276" s="83"/>
      <c r="M276" s="78"/>
      <c r="N276" s="104"/>
      <c r="O276" s="78"/>
      <c r="P276" s="83"/>
      <c r="Q276" s="78"/>
      <c r="R276" s="81"/>
      <c r="S276" s="78"/>
      <c r="T276" s="86"/>
    </row>
    <row r="277" spans="1:25" s="3" customFormat="1" ht="18" customHeight="1" x14ac:dyDescent="0.25">
      <c r="A277" s="43" t="s">
        <v>282</v>
      </c>
      <c r="B277" s="44" t="s">
        <v>283</v>
      </c>
      <c r="C277" s="45"/>
      <c r="D277" s="46"/>
      <c r="E277" s="92" t="s">
        <v>103</v>
      </c>
      <c r="F277" s="88">
        <v>10</v>
      </c>
      <c r="G277" s="56"/>
      <c r="H277" s="89"/>
      <c r="I277" s="49">
        <f>VLOOKUP(22421,[1]!qryExcelSlab[#Data],5,FALSE)</f>
        <v>2</v>
      </c>
      <c r="J277" s="51">
        <f>IF(I277=0,0,VLOOKUP(22421,[1]!qryExcelSlab[#Data],4,FALSE))</f>
        <v>88</v>
      </c>
      <c r="K277" s="52">
        <f>VLOOKUP(22420,[1]!qryExcelSlab[#Data],5,FALSE)</f>
        <v>13</v>
      </c>
      <c r="L277" s="90">
        <f>IF(K277=0,0,VLOOKUP(22420,[1]!qryExcelSlab[#Data],4,FALSE))</f>
        <v>108</v>
      </c>
      <c r="M277" s="49">
        <f>VLOOKUP(22419,[1]!qryExcelSlab[#Data],5,FALSE)</f>
        <v>14</v>
      </c>
      <c r="N277" s="91">
        <f>IF(M277=0,0,VLOOKUP(22419,[1]!qryExcelSlab[#Data],4,FALSE))</f>
        <v>123</v>
      </c>
      <c r="O277" s="49">
        <f>VLOOKUP(22418,[1]!qryExcelSlab[#Data],5,FALSE)</f>
        <v>0</v>
      </c>
      <c r="P277" s="90">
        <f>IF(O277=0,0,VLOOKUP(22418,[1]!qryExcelSlab[#Data],4,FALSE))</f>
        <v>0</v>
      </c>
      <c r="Q277" s="49">
        <f>VLOOKUP(22417,[1]!qryExcelSlab[#Data],5,FALSE)</f>
        <v>0</v>
      </c>
      <c r="R277" s="51">
        <f>IF(Q277=0,0,VLOOKUP(22417,[1]!qryExcelSlab[#Data],4,FALSE))</f>
        <v>0</v>
      </c>
      <c r="S277" s="49">
        <f>VLOOKUP(22416,[1]!qryExcelSlab[#Data],5,FALSE)</f>
        <v>0</v>
      </c>
      <c r="T277" s="57" t="s">
        <v>24</v>
      </c>
    </row>
    <row r="278" spans="1:25" s="3" customFormat="1" ht="18" customHeight="1" x14ac:dyDescent="0.25">
      <c r="A278" s="28"/>
      <c r="B278" s="73"/>
      <c r="C278" s="74"/>
      <c r="D278" s="75"/>
      <c r="E278" s="76"/>
      <c r="F278" s="103"/>
      <c r="G278" s="80"/>
      <c r="H278" s="79"/>
      <c r="I278" s="78"/>
      <c r="J278" s="81"/>
      <c r="K278" s="95"/>
      <c r="L278" s="83"/>
      <c r="M278" s="78"/>
      <c r="N278" s="104"/>
      <c r="O278" s="78"/>
      <c r="P278" s="83"/>
      <c r="Q278" s="78"/>
      <c r="R278" s="81"/>
      <c r="S278" s="78"/>
      <c r="T278" s="86"/>
    </row>
    <row r="279" spans="1:25" s="3" customFormat="1" ht="18" customHeight="1" x14ac:dyDescent="0.25">
      <c r="A279" s="43" t="s">
        <v>284</v>
      </c>
      <c r="B279" s="44" t="s">
        <v>285</v>
      </c>
      <c r="C279" s="45"/>
      <c r="D279" s="46"/>
      <c r="E279" s="92" t="s">
        <v>103</v>
      </c>
      <c r="F279" s="88">
        <v>10</v>
      </c>
      <c r="G279" s="56"/>
      <c r="H279" s="89"/>
      <c r="I279" s="49">
        <f>VLOOKUP(30609,[1]!qryExcelSlab[#Data],5,FALSE)</f>
        <v>6</v>
      </c>
      <c r="J279" s="51">
        <f>IF(I279=0,0,VLOOKUP(30609,[1]!qryExcelSlab[#Data],4,FALSE))</f>
        <v>88</v>
      </c>
      <c r="K279" s="52">
        <f>VLOOKUP(19752,[1]!qryExcelSlab[#Data],5,FALSE)</f>
        <v>10</v>
      </c>
      <c r="L279" s="90">
        <f>IF(K279=0,0,VLOOKUP(19752,[1]!qryExcelSlab[#Data],4,FALSE))</f>
        <v>108</v>
      </c>
      <c r="M279" s="49">
        <f>VLOOKUP(19145,[1]!qryExcelSlab[#Data],5,FALSE)</f>
        <v>22</v>
      </c>
      <c r="N279" s="91">
        <f>IF(M279=0,0,VLOOKUP(19145,[1]!qryExcelSlab[#Data],4,FALSE))</f>
        <v>123</v>
      </c>
      <c r="O279" s="49">
        <f>VLOOKUP(19751,[1]!qryExcelSlab[#Data],5,FALSE)</f>
        <v>1</v>
      </c>
      <c r="P279" s="90">
        <f>IF(O279=0,0,VLOOKUP(19751,[1]!qryExcelSlab[#Data],4,FALSE))</f>
        <v>138</v>
      </c>
      <c r="Q279" s="49"/>
      <c r="R279" s="51" t="s">
        <v>3</v>
      </c>
      <c r="S279" s="49"/>
      <c r="T279" s="57" t="s">
        <v>24</v>
      </c>
    </row>
    <row r="280" spans="1:25" s="3" customFormat="1" ht="18" customHeight="1" x14ac:dyDescent="0.25">
      <c r="A280" s="28"/>
      <c r="B280" s="73"/>
      <c r="C280" s="74"/>
      <c r="D280" s="75"/>
      <c r="E280" s="76"/>
      <c r="F280" s="103"/>
      <c r="G280" s="80"/>
      <c r="H280" s="79"/>
      <c r="I280" s="78"/>
      <c r="J280" s="81"/>
      <c r="K280" s="95"/>
      <c r="L280" s="83"/>
      <c r="M280" s="78"/>
      <c r="N280" s="104"/>
      <c r="O280" s="78"/>
      <c r="P280" s="83"/>
      <c r="Q280" s="78"/>
      <c r="R280" s="81"/>
      <c r="S280" s="78"/>
      <c r="T280" s="86"/>
    </row>
    <row r="281" spans="1:25" s="3" customFormat="1" ht="18" customHeight="1" x14ac:dyDescent="0.25">
      <c r="A281" s="43" t="s">
        <v>286</v>
      </c>
      <c r="B281" s="44" t="s">
        <v>287</v>
      </c>
      <c r="C281" s="45"/>
      <c r="D281" s="46"/>
      <c r="E281" s="92" t="s">
        <v>103</v>
      </c>
      <c r="F281" s="88">
        <v>10</v>
      </c>
      <c r="G281" s="49">
        <f>VLOOKUP(22422,[1]!qryExcelSlab[#Data],5,FALSE)</f>
        <v>0</v>
      </c>
      <c r="H281" s="89">
        <f>VLOOKUP(22422,[1]!qryExcelSlab[#Data],4,FALSE)</f>
        <v>0</v>
      </c>
      <c r="I281" s="49">
        <f>VLOOKUP(22427,[1]!qryExcelSlab[#Data],5,FALSE)</f>
        <v>4</v>
      </c>
      <c r="J281" s="51">
        <f>IF(I281=0,0,VLOOKUP(22427,[1]!qryExcelSlab[#Data],4,FALSE))</f>
        <v>88</v>
      </c>
      <c r="K281" s="52">
        <f>VLOOKUP(22426,[1]!qryExcelSlab[#Data],5,FALSE)</f>
        <v>8</v>
      </c>
      <c r="L281" s="90">
        <f>IF(K281=0,0,VLOOKUP(22426,[1]!qryExcelSlab[#Data],4,FALSE))</f>
        <v>108</v>
      </c>
      <c r="M281" s="49">
        <f>VLOOKUP(22425,[1]!qryExcelSlab[#Data],5,FALSE)</f>
        <v>47</v>
      </c>
      <c r="N281" s="91">
        <f>IF(M281=0,0,VLOOKUP(22425,[1]!qryExcelSlab[#Data],4,FALSE))</f>
        <v>123</v>
      </c>
      <c r="O281" s="49">
        <f>VLOOKUP(22424,[1]!qryExcelSlab[#Data],5,FALSE)</f>
        <v>0</v>
      </c>
      <c r="P281" s="90">
        <f>IF(O281=0,0,VLOOKUP(22424,[1]!qryExcelSlab[#Data],4,FALSE))</f>
        <v>0</v>
      </c>
      <c r="Q281" s="49">
        <f>VLOOKUP(22423,[1]!qryExcelSlab[#Data],5,FALSE)</f>
        <v>0</v>
      </c>
      <c r="R281" s="51">
        <f>IF(Q281=0,0,VLOOKUP(22423,[1]!qryExcelSlab[#Data],4,FALSE))</f>
        <v>0</v>
      </c>
      <c r="S281" s="49"/>
      <c r="T281" s="57" t="s">
        <v>24</v>
      </c>
      <c r="U281" s="3" t="s">
        <v>3</v>
      </c>
    </row>
    <row r="282" spans="1:25" s="3" customFormat="1" ht="18" customHeight="1" x14ac:dyDescent="0.25">
      <c r="A282" s="28"/>
      <c r="B282" s="73"/>
      <c r="C282" s="74"/>
      <c r="D282" s="75"/>
      <c r="E282" s="76"/>
      <c r="F282" s="103"/>
      <c r="G282" s="80"/>
      <c r="H282" s="79"/>
      <c r="I282" s="78"/>
      <c r="J282" s="81"/>
      <c r="K282" s="95"/>
      <c r="L282" s="83"/>
      <c r="M282" s="78"/>
      <c r="N282" s="104"/>
      <c r="O282" s="78"/>
      <c r="P282" s="83"/>
      <c r="Q282" s="78"/>
      <c r="R282" s="81"/>
      <c r="S282" s="78"/>
      <c r="T282" s="86"/>
    </row>
    <row r="283" spans="1:25" s="3" customFormat="1" ht="18" customHeight="1" x14ac:dyDescent="0.25">
      <c r="A283" s="412" t="s">
        <v>147</v>
      </c>
      <c r="B283" s="44" t="s">
        <v>288</v>
      </c>
      <c r="C283" s="45"/>
      <c r="D283" s="46"/>
      <c r="E283" s="414" t="s">
        <v>103</v>
      </c>
      <c r="F283" s="88">
        <v>10</v>
      </c>
      <c r="G283" s="56"/>
      <c r="H283" s="89"/>
      <c r="I283" s="49">
        <f>VLOOKUP(30614,[1]!qryExcelSlab[#Data],5,FALSE)</f>
        <v>0</v>
      </c>
      <c r="J283" s="51">
        <f>IF(I283=0,0,VLOOKUP(30614,[1]!qryExcelSlab[#Data],4,FALSE))</f>
        <v>0</v>
      </c>
      <c r="K283" s="52">
        <f>VLOOKUP(23074,[1]!qryExcelSlab[#Data],5,FALSE)</f>
        <v>3</v>
      </c>
      <c r="L283" s="90">
        <f>IF(K283=0,0,VLOOKUP(23074,[1]!qryExcelSlab[#Data],4,FALSE))</f>
        <v>108</v>
      </c>
      <c r="M283" s="49">
        <f>VLOOKUP(23073,[1]!qryExcelSlab[#Data],5,FALSE)</f>
        <v>7</v>
      </c>
      <c r="N283" s="91">
        <f>IF(M283=0,0,VLOOKUP(23073,[1]!qryExcelSlab[#Data],4,FALSE))</f>
        <v>123</v>
      </c>
      <c r="O283" s="49">
        <f>VLOOKUP(23072,[1]!qryExcelSlab[#Data],5,FALSE)</f>
        <v>1</v>
      </c>
      <c r="P283" s="90">
        <f>IF(O283=0,0,VLOOKUP(23072,[1]!qryExcelSlab[#Data],4,FALSE))</f>
        <v>148</v>
      </c>
      <c r="Q283" s="49" t="s">
        <v>3</v>
      </c>
      <c r="R283" s="51" t="s">
        <v>3</v>
      </c>
      <c r="S283" s="49"/>
      <c r="T283" s="57" t="s">
        <v>24</v>
      </c>
    </row>
    <row r="284" spans="1:25" s="3" customFormat="1" ht="18" customHeight="1" x14ac:dyDescent="0.25">
      <c r="A284" s="28"/>
      <c r="B284" s="73"/>
      <c r="C284" s="74"/>
      <c r="D284" s="75"/>
      <c r="E284" s="76"/>
      <c r="F284" s="103"/>
      <c r="G284" s="80"/>
      <c r="H284" s="79"/>
      <c r="I284" s="78"/>
      <c r="J284" s="81"/>
      <c r="K284" s="95"/>
      <c r="L284" s="83"/>
      <c r="M284" s="78"/>
      <c r="N284" s="104"/>
      <c r="O284" s="78"/>
      <c r="P284" s="83"/>
      <c r="Q284" s="78"/>
      <c r="R284" s="81"/>
      <c r="S284" s="78"/>
      <c r="T284" s="86"/>
    </row>
    <row r="285" spans="1:25" s="3" customFormat="1" ht="18" customHeight="1" x14ac:dyDescent="0.25">
      <c r="A285" s="412" t="s">
        <v>147</v>
      </c>
      <c r="B285" s="44" t="s">
        <v>289</v>
      </c>
      <c r="C285" s="45"/>
      <c r="D285" s="46"/>
      <c r="E285" s="92" t="s">
        <v>103</v>
      </c>
      <c r="F285" s="88">
        <v>13</v>
      </c>
      <c r="G285" s="49" t="s">
        <v>3</v>
      </c>
      <c r="H285" s="89" t="s">
        <v>3</v>
      </c>
      <c r="I285" s="49" t="s">
        <v>3</v>
      </c>
      <c r="J285" s="51" t="s">
        <v>3</v>
      </c>
      <c r="K285" s="52" t="s">
        <v>3</v>
      </c>
      <c r="L285" s="90" t="s">
        <v>3</v>
      </c>
      <c r="M285" s="49">
        <f>VLOOKUP(30655,[1]!qryExcelSlab[#Data],5,FALSE)</f>
        <v>0</v>
      </c>
      <c r="N285" s="91">
        <f>IF(M285=0,0,VLOOKUP(30655,[1]!qryExcelSlab[#Data],4,FALSE))</f>
        <v>0</v>
      </c>
      <c r="O285" s="49" t="s">
        <v>3</v>
      </c>
      <c r="P285" s="90" t="s">
        <v>3</v>
      </c>
      <c r="Q285" s="49"/>
      <c r="R285" s="51" t="s">
        <v>3</v>
      </c>
      <c r="S285" s="49"/>
      <c r="T285" s="57" t="s">
        <v>24</v>
      </c>
      <c r="U285" s="3" t="s">
        <v>3</v>
      </c>
      <c r="V285" s="98" t="s">
        <v>3</v>
      </c>
      <c r="Y285" s="3" t="s">
        <v>3</v>
      </c>
    </row>
    <row r="286" spans="1:25" s="3" customFormat="1" ht="18" customHeight="1" x14ac:dyDescent="0.25">
      <c r="A286" s="102"/>
      <c r="B286" s="73"/>
      <c r="C286" s="74"/>
      <c r="D286" s="75"/>
      <c r="E286" s="76"/>
      <c r="F286" s="103"/>
      <c r="G286" s="80"/>
      <c r="H286" s="79"/>
      <c r="I286" s="78"/>
      <c r="J286" s="81"/>
      <c r="K286" s="95"/>
      <c r="L286" s="83"/>
      <c r="M286" s="78"/>
      <c r="N286" s="104"/>
      <c r="O286" s="78"/>
      <c r="P286" s="83"/>
      <c r="Q286" s="78"/>
      <c r="R286" s="81"/>
      <c r="S286" s="78"/>
      <c r="T286" s="86"/>
    </row>
    <row r="287" spans="1:25" s="3" customFormat="1" ht="18" customHeight="1" x14ac:dyDescent="0.25">
      <c r="A287" s="43" t="s">
        <v>290</v>
      </c>
      <c r="B287" s="44" t="s">
        <v>291</v>
      </c>
      <c r="C287" s="45"/>
      <c r="D287" s="46"/>
      <c r="E287" s="92" t="s">
        <v>103</v>
      </c>
      <c r="F287" s="88">
        <v>10</v>
      </c>
      <c r="G287" s="49">
        <f>VLOOKUP(30054,[1]!qryExcelSlab[#Data],5,FALSE)</f>
        <v>0</v>
      </c>
      <c r="H287" s="89">
        <f>VLOOKUP(30054,[1]!qryExcelSlab[#Data],4,FALSE)</f>
        <v>39</v>
      </c>
      <c r="I287" s="49">
        <f>VLOOKUP(30612,[1]!qryExcelSlab[#Data],5,FALSE)</f>
        <v>5</v>
      </c>
      <c r="J287" s="51">
        <f>IF(I287=0,0,VLOOKUP(30612,[1]!qryExcelSlab[#Data],4,FALSE))</f>
        <v>88</v>
      </c>
      <c r="K287" s="52">
        <f>VLOOKUP(19754,[1]!qryExcelSlab[#Data],5,FALSE)</f>
        <v>19</v>
      </c>
      <c r="L287" s="90">
        <f>IF(K287=0,0,VLOOKUP(19754,[1]!qryExcelSlab[#Data],4,FALSE))</f>
        <v>108</v>
      </c>
      <c r="M287" s="49">
        <f>VLOOKUP(19753,[1]!qryExcelSlab[#Data],5,FALSE)</f>
        <v>4</v>
      </c>
      <c r="N287" s="91">
        <f>IF(M287=0,0,VLOOKUP(19753,[1]!qryExcelSlab[#Data],4,FALSE))</f>
        <v>123</v>
      </c>
      <c r="O287" s="49">
        <f>VLOOKUP(19172,[1]!qryExcelSlab[#Data],5,FALSE)</f>
        <v>0</v>
      </c>
      <c r="P287" s="90">
        <f>IF(O287=0,0,VLOOKUP(19172,[1]!qryExcelSlab[#Data],4,FALSE))</f>
        <v>0</v>
      </c>
      <c r="Q287" s="49"/>
      <c r="R287" s="51" t="s">
        <v>3</v>
      </c>
      <c r="S287" s="49"/>
      <c r="T287" s="57" t="s">
        <v>24</v>
      </c>
    </row>
    <row r="288" spans="1:25" s="3" customFormat="1" ht="18" customHeight="1" x14ac:dyDescent="0.25">
      <c r="A288" s="28"/>
      <c r="B288" s="73"/>
      <c r="C288" s="74"/>
      <c r="D288" s="75"/>
      <c r="E288" s="76"/>
      <c r="F288" s="103"/>
      <c r="G288" s="80"/>
      <c r="H288" s="79"/>
      <c r="I288" s="78"/>
      <c r="J288" s="81"/>
      <c r="K288" s="95"/>
      <c r="L288" s="83"/>
      <c r="M288" s="78"/>
      <c r="N288" s="104"/>
      <c r="O288" s="78"/>
      <c r="P288" s="83"/>
      <c r="Q288" s="78"/>
      <c r="R288" s="81"/>
      <c r="S288" s="78"/>
      <c r="T288" s="86"/>
    </row>
    <row r="289" spans="1:42" s="3" customFormat="1" ht="18" customHeight="1" x14ac:dyDescent="0.25">
      <c r="A289" s="43" t="s">
        <v>292</v>
      </c>
      <c r="B289" s="44" t="s">
        <v>293</v>
      </c>
      <c r="C289" s="45"/>
      <c r="D289" s="46"/>
      <c r="E289" s="92" t="s">
        <v>103</v>
      </c>
      <c r="F289" s="88">
        <v>10</v>
      </c>
      <c r="G289" s="49">
        <f>VLOOKUP(17936,[1]!qryExcelSlab[#Data],5,FALSE)</f>
        <v>0</v>
      </c>
      <c r="H289" s="89">
        <f>VLOOKUP(17936,[1]!qryExcelSlab[#Data],4,FALSE)</f>
        <v>0</v>
      </c>
      <c r="I289" s="49">
        <f>VLOOKUP(22434,[1]!qryExcelSlab[#Data],5,FALSE)</f>
        <v>5</v>
      </c>
      <c r="J289" s="51">
        <f>IF(I289=0,0,VLOOKUP(22434,[1]!qryExcelSlab[#Data],4,FALSE))</f>
        <v>88</v>
      </c>
      <c r="K289" s="52">
        <f>VLOOKUP(22432,[1]!qryExcelSlab[#Data],5,FALSE)</f>
        <v>0</v>
      </c>
      <c r="L289" s="90">
        <f>IF(K289=0,0,VLOOKUP(22432,[1]!qryExcelSlab[#Data],4,FALSE))</f>
        <v>0</v>
      </c>
      <c r="M289" s="49">
        <f>VLOOKUP(22431,[1]!qryExcelSlab[#Data],5,FALSE)</f>
        <v>0</v>
      </c>
      <c r="N289" s="91">
        <f>IF(M289=0,0,VLOOKUP(22431,[1]!qryExcelSlab[#Data],4,FALSE))</f>
        <v>0</v>
      </c>
      <c r="O289" s="49">
        <f>VLOOKUP(22430,[1]!qryExcelSlab[#Data],5,FALSE)</f>
        <v>0</v>
      </c>
      <c r="P289" s="90">
        <f>IF(O289=0,0,VLOOKUP(22430,[1]!qryExcelSlab[#Data],4,FALSE))</f>
        <v>0</v>
      </c>
      <c r="Q289" s="49">
        <f>VLOOKUP(22429,[1]!qryExcelSlab[#Data],5,FALSE)</f>
        <v>0</v>
      </c>
      <c r="R289" s="51">
        <f>IF(Q289=0,0,VLOOKUP(22429,[1]!qryExcelSlab[#Data],4,FALSE))</f>
        <v>0</v>
      </c>
      <c r="S289" s="49">
        <f>VLOOKUP(22428,[1]!qryExcelSlab[#Data],5,FALSE)</f>
        <v>0</v>
      </c>
      <c r="T289" s="57" t="s">
        <v>24</v>
      </c>
    </row>
    <row r="290" spans="1:42" s="3" customFormat="1" ht="18" customHeight="1" x14ac:dyDescent="0.25">
      <c r="A290" s="327"/>
      <c r="B290" s="73"/>
      <c r="C290" s="74"/>
      <c r="D290" s="75"/>
      <c r="E290" s="76"/>
      <c r="F290" s="103"/>
      <c r="G290" s="80"/>
      <c r="H290" s="79"/>
      <c r="I290" s="78"/>
      <c r="J290" s="81"/>
      <c r="K290" s="95"/>
      <c r="L290" s="83"/>
      <c r="M290" s="78"/>
      <c r="N290" s="104"/>
      <c r="O290" s="78"/>
      <c r="P290" s="83"/>
      <c r="Q290" s="78"/>
      <c r="R290" s="81"/>
      <c r="S290" s="78"/>
      <c r="T290" s="86"/>
    </row>
    <row r="291" spans="1:42" s="3" customFormat="1" ht="18" customHeight="1" x14ac:dyDescent="0.25">
      <c r="A291" s="43" t="s">
        <v>203</v>
      </c>
      <c r="B291" s="44" t="s">
        <v>294</v>
      </c>
      <c r="C291" s="45"/>
      <c r="D291" s="46"/>
      <c r="E291" s="92" t="s">
        <v>295</v>
      </c>
      <c r="F291" s="88">
        <v>10</v>
      </c>
      <c r="G291" s="49">
        <f>VLOOKUP(17927,[1]!qryExcelSlab[#Data],5,FALSE)</f>
        <v>23</v>
      </c>
      <c r="H291" s="89">
        <f>VLOOKUP(17927,[1]!qryExcelSlab[#Data],4,FALSE)</f>
        <v>0</v>
      </c>
      <c r="I291" s="49">
        <f>VLOOKUP(23545,[1]!qryExcelSlab[#Data],5,FALSE)</f>
        <v>10</v>
      </c>
      <c r="J291" s="51">
        <f>IF(I291=0,0,VLOOKUP(23545,[1]!qryExcelSlab[#Data],4,FALSE))</f>
        <v>88</v>
      </c>
      <c r="K291" s="52">
        <f>VLOOKUP(19149,[1]!qryExcelSlab[#Data],5,FALSE)</f>
        <v>0</v>
      </c>
      <c r="L291" s="90">
        <f>IF(K291=0,0,VLOOKUP(19149,[1]!qryExcelSlab[#Data],4,FALSE))</f>
        <v>0</v>
      </c>
      <c r="M291" s="49">
        <f>VLOOKUP(19147,[1]!qryExcelSlab[#Data],5,FALSE)</f>
        <v>18</v>
      </c>
      <c r="N291" s="91">
        <f>IF(M291=0,0,VLOOKUP(19147,[1]!qryExcelSlab[#Data],4,FALSE))</f>
        <v>123</v>
      </c>
      <c r="O291" s="49">
        <f>VLOOKUP(19146,[1]!qryExcelSlab[#Data],5,FALSE)</f>
        <v>0</v>
      </c>
      <c r="P291" s="90">
        <f>IF(O291=0,0,VLOOKUP(19146,[1]!qryExcelSlab[#Data],4,FALSE))</f>
        <v>0</v>
      </c>
      <c r="Q291" s="49"/>
      <c r="R291" s="51" t="s">
        <v>3</v>
      </c>
      <c r="S291" s="49"/>
      <c r="T291" s="57" t="s">
        <v>24</v>
      </c>
    </row>
    <row r="292" spans="1:42" s="3" customFormat="1" ht="18" customHeight="1" x14ac:dyDescent="0.25">
      <c r="A292" s="28"/>
      <c r="B292" s="73"/>
      <c r="C292" s="74"/>
      <c r="D292" s="75"/>
      <c r="E292" s="76"/>
      <c r="F292" s="103"/>
      <c r="G292" s="80"/>
      <c r="H292" s="79"/>
      <c r="I292" s="78"/>
      <c r="J292" s="81"/>
      <c r="K292" s="95"/>
      <c r="L292" s="83"/>
      <c r="M292" s="78"/>
      <c r="N292" s="104"/>
      <c r="O292" s="78"/>
      <c r="P292" s="83"/>
      <c r="Q292" s="78"/>
      <c r="R292" s="81"/>
      <c r="S292" s="78"/>
      <c r="T292" s="86"/>
    </row>
    <row r="293" spans="1:42" s="3" customFormat="1" ht="18" customHeight="1" x14ac:dyDescent="0.25">
      <c r="A293" s="98" t="s">
        <v>296</v>
      </c>
      <c r="B293" s="44" t="s">
        <v>297</v>
      </c>
      <c r="C293" s="45"/>
      <c r="D293" s="46" t="s">
        <v>298</v>
      </c>
      <c r="E293" s="92" t="s">
        <v>295</v>
      </c>
      <c r="F293" s="88">
        <v>11</v>
      </c>
      <c r="G293" s="49">
        <f>VLOOKUP(30374,[1]!qryExcelSlab[#Data],5,FALSE)</f>
        <v>2</v>
      </c>
      <c r="H293" s="89">
        <f>IF(G293=0,0,VLOOKUP(30374,[1]!qryExcelSlab[#Data],4,FALSE))</f>
        <v>59</v>
      </c>
      <c r="I293" s="49">
        <f>VLOOKUP(30371,[1]!qryExcelSlab[#Data],5,FALSE)</f>
        <v>2</v>
      </c>
      <c r="J293" s="51">
        <f>IF(I293=0,0,VLOOKUP(30371,[1]!qryExcelSlab[#Data],4,FALSE))</f>
        <v>98</v>
      </c>
      <c r="K293" s="52">
        <f>VLOOKUP(30372,[1]!qryExcelSlab[#Data],5,FALSE)</f>
        <v>0</v>
      </c>
      <c r="L293" s="90">
        <f>IF(K293=0,0,VLOOKUP(30372,[1]!qryExcelSlab[#Data],4,FALSE))</f>
        <v>0</v>
      </c>
      <c r="M293" s="49">
        <f>VLOOKUP(30373,[1]!qryExcelSlab[#Data],5,FALSE)</f>
        <v>0</v>
      </c>
      <c r="N293" s="91">
        <f>IF(M293=0,0,VLOOKUP(30373,[1]!qryExcelSlab[#Data],4,FALSE))</f>
        <v>0</v>
      </c>
      <c r="O293" s="49"/>
      <c r="P293" s="90" t="s">
        <v>3</v>
      </c>
      <c r="Q293" s="49"/>
      <c r="R293" s="51" t="s">
        <v>3</v>
      </c>
      <c r="S293" s="49"/>
      <c r="T293" s="57" t="s">
        <v>24</v>
      </c>
    </row>
    <row r="294" spans="1:42" s="3" customFormat="1" ht="18" customHeight="1" x14ac:dyDescent="0.25">
      <c r="A294" s="28"/>
      <c r="B294" s="73"/>
      <c r="C294" s="74"/>
      <c r="E294" s="76"/>
      <c r="F294" s="103"/>
      <c r="G294" s="80"/>
      <c r="H294" s="79"/>
      <c r="I294" s="78"/>
      <c r="J294" s="81"/>
      <c r="K294" s="95"/>
      <c r="L294" s="83"/>
      <c r="M294" s="78"/>
      <c r="N294" s="104"/>
      <c r="O294" s="78"/>
      <c r="P294" s="83"/>
      <c r="Q294" s="78"/>
      <c r="R294" s="81"/>
      <c r="S294" s="78"/>
      <c r="T294" s="86"/>
    </row>
    <row r="295" spans="1:42" s="3" customFormat="1" ht="18" customHeight="1" x14ac:dyDescent="0.25">
      <c r="A295" s="98" t="s">
        <v>299</v>
      </c>
      <c r="B295" s="44" t="s">
        <v>300</v>
      </c>
      <c r="C295" s="45"/>
      <c r="D295" s="46" t="s">
        <v>301</v>
      </c>
      <c r="E295" s="92" t="s">
        <v>295</v>
      </c>
      <c r="F295" s="88">
        <v>11</v>
      </c>
      <c r="G295" s="49">
        <f>VLOOKUP(30369,[1]!qryExcelSlab[#Data],5,FALSE)</f>
        <v>1</v>
      </c>
      <c r="H295" s="89">
        <f>IF(G295=0,0,VLOOKUP(30369,[1]!qryExcelSlab[#Data],4,FALSE))</f>
        <v>59</v>
      </c>
      <c r="I295" s="49"/>
      <c r="J295" s="51" t="s">
        <v>3</v>
      </c>
      <c r="K295" s="52" t="s">
        <v>3</v>
      </c>
      <c r="L295" s="90" t="s">
        <v>3</v>
      </c>
      <c r="M295" s="49"/>
      <c r="N295" s="91" t="s">
        <v>3</v>
      </c>
      <c r="O295" s="49"/>
      <c r="P295" s="90" t="s">
        <v>3</v>
      </c>
      <c r="Q295" s="49"/>
      <c r="R295" s="51" t="s">
        <v>3</v>
      </c>
      <c r="S295" s="49"/>
      <c r="T295" s="57" t="s">
        <v>24</v>
      </c>
    </row>
    <row r="296" spans="1:42" s="3" customFormat="1" ht="18" customHeight="1" x14ac:dyDescent="0.25">
      <c r="A296" s="102"/>
      <c r="B296" s="73"/>
      <c r="C296" s="74"/>
      <c r="D296" s="75"/>
      <c r="E296" s="76"/>
      <c r="F296" s="103"/>
      <c r="G296" s="78"/>
      <c r="H296" s="79"/>
      <c r="I296" s="78"/>
      <c r="J296" s="81"/>
      <c r="K296" s="95"/>
      <c r="L296" s="83"/>
      <c r="M296" s="78"/>
      <c r="N296" s="104"/>
      <c r="O296" s="78"/>
      <c r="P296" s="83"/>
      <c r="Q296" s="78"/>
      <c r="R296" s="81"/>
      <c r="S296" s="78"/>
      <c r="T296" s="86"/>
    </row>
    <row r="297" spans="1:42" s="3" customFormat="1" ht="18" customHeight="1" x14ac:dyDescent="0.25">
      <c r="A297" s="43" t="s">
        <v>174</v>
      </c>
      <c r="B297" s="44" t="s">
        <v>148</v>
      </c>
      <c r="C297" s="45"/>
      <c r="D297" s="46"/>
      <c r="E297" s="92" t="s">
        <v>295</v>
      </c>
      <c r="F297" s="88">
        <v>9</v>
      </c>
      <c r="G297" s="49">
        <f>VLOOKUP(17931,[1]!qryExcelSlab[#Data],5,FALSE)</f>
        <v>22</v>
      </c>
      <c r="H297" s="89">
        <f>IF(G297=0,0,VLOOKUP(17931,[1]!qryExcelSlab[#Data],4,FALSE))</f>
        <v>45</v>
      </c>
      <c r="I297" s="49">
        <f>VLOOKUP(23546,[1]!qryExcelSlab[#Data],5,FALSE)</f>
        <v>15</v>
      </c>
      <c r="J297" s="51">
        <f>IF(I297=0,0,VLOOKUP(23546,[1]!qryExcelSlab[#Data],4,FALSE))</f>
        <v>83</v>
      </c>
      <c r="K297" s="52">
        <f>VLOOKUP(19767,[1]!qryExcelSlab[#Data],5,FALSE)</f>
        <v>19</v>
      </c>
      <c r="L297" s="90">
        <f>IF(K297=0,0,VLOOKUP(19767,[1]!qryExcelSlab[#Data],4,FALSE))</f>
        <v>95</v>
      </c>
      <c r="M297" s="49">
        <f>VLOOKUP(19155,[1]!qryExcelSlab[#Data],5,FALSE)</f>
        <v>25</v>
      </c>
      <c r="N297" s="91">
        <f>IF(M297=0,0,VLOOKUP(19155,[1]!qryExcelSlab[#Data],4,FALSE))</f>
        <v>109</v>
      </c>
      <c r="O297" s="49">
        <f>VLOOKUP(19153,[1]!qryExcelSlab[#Data],5,FALSE)</f>
        <v>11</v>
      </c>
      <c r="P297" s="90">
        <f>IF(O297=0,0,VLOOKUP(19153,[1]!qryExcelSlab[#Data],4,FALSE))</f>
        <v>125</v>
      </c>
      <c r="Q297" s="49"/>
      <c r="R297" s="51" t="s">
        <v>3</v>
      </c>
      <c r="S297" s="49">
        <f>VLOOKUP(19375,[1]!qryExcelSlab[#Data],5,FALSE)</f>
        <v>0</v>
      </c>
      <c r="T297" s="411" t="s">
        <v>24</v>
      </c>
    </row>
    <row r="298" spans="1:42" s="3" customFormat="1" ht="18" customHeight="1" x14ac:dyDescent="0.25">
      <c r="A298" s="28"/>
      <c r="B298" s="73"/>
      <c r="C298" s="74"/>
      <c r="D298" s="75"/>
      <c r="E298" s="76"/>
      <c r="F298" s="103"/>
      <c r="G298" s="80"/>
      <c r="H298" s="79"/>
      <c r="I298" s="78"/>
      <c r="J298" s="81"/>
      <c r="K298" s="95"/>
      <c r="L298" s="83"/>
      <c r="M298" s="78"/>
      <c r="N298" s="104"/>
      <c r="O298" s="78"/>
      <c r="P298" s="83"/>
      <c r="Q298" s="78"/>
      <c r="R298" s="81"/>
      <c r="S298" s="78"/>
      <c r="T298" s="86"/>
    </row>
    <row r="299" spans="1:42" s="3" customFormat="1" ht="18" customHeight="1" x14ac:dyDescent="0.25">
      <c r="A299" s="43" t="s">
        <v>187</v>
      </c>
      <c r="B299" s="44" t="s">
        <v>188</v>
      </c>
      <c r="C299" s="45"/>
      <c r="D299" s="46"/>
      <c r="E299" s="92" t="s">
        <v>295</v>
      </c>
      <c r="F299" s="88">
        <v>9</v>
      </c>
      <c r="G299" s="49">
        <f>VLOOKUP(30250,[1]!qryExcelSlab[#Data],5,FALSE)</f>
        <v>4</v>
      </c>
      <c r="H299" s="89">
        <f>IF(G299=0,0,VLOOKUP(30250,[1]!qryExcelSlab[#Data],4,FALSE))</f>
        <v>45</v>
      </c>
      <c r="I299" s="49">
        <f>VLOOKUP(22440,[1]!qryExcelSlab[#Data],5,FALSE)</f>
        <v>10</v>
      </c>
      <c r="J299" s="51">
        <f>IF(I299=0,0,VLOOKUP(22440,[1]!qryExcelSlab[#Data],4,FALSE))</f>
        <v>83</v>
      </c>
      <c r="K299" s="52">
        <f>VLOOKUP(22439,[1]!qryExcelSlab[#Data],5,FALSE)</f>
        <v>20</v>
      </c>
      <c r="L299" s="90">
        <f>IF(K299=0,0,VLOOKUP(22439,[1]!qryExcelSlab[#Data],4,FALSE))</f>
        <v>95</v>
      </c>
      <c r="M299" s="49">
        <f>VLOOKUP(22438,[1]!qryExcelSlab[#Data],5,FALSE)</f>
        <v>14</v>
      </c>
      <c r="N299" s="91">
        <f>IF(M299=0,0,VLOOKUP(22438,[1]!qryExcelSlab[#Data],4,FALSE))</f>
        <v>109</v>
      </c>
      <c r="O299" s="49">
        <f>VLOOKUP(22437,[1]!qryExcelSlab[#Data],5,FALSE)</f>
        <v>0</v>
      </c>
      <c r="P299" s="90">
        <f>IF(O299=0,0,VLOOKUP(22437,[1]!qryExcelSlab[#Data],4,FALSE))</f>
        <v>0</v>
      </c>
      <c r="Q299" s="49">
        <f>VLOOKUP(22436,[1]!qryExcelSlab[#Data],5,FALSE)</f>
        <v>0</v>
      </c>
      <c r="R299" s="51">
        <f>IF(Q299=0,0,VLOOKUP(22436,[1]!qryExcelSlab[#Data],4,FALSE))</f>
        <v>0</v>
      </c>
      <c r="S299" s="49">
        <f>VLOOKUP(22435,[1]!qryExcelSlab[#Data],5,FALSE)</f>
        <v>0</v>
      </c>
      <c r="T299" s="57" t="s">
        <v>24</v>
      </c>
    </row>
    <row r="300" spans="1:42" s="3" customFormat="1" ht="18" customHeight="1" x14ac:dyDescent="0.25">
      <c r="A300" s="28"/>
      <c r="B300" s="73"/>
      <c r="C300" s="74"/>
      <c r="D300" s="75"/>
      <c r="E300" s="76"/>
      <c r="F300" s="103" t="s">
        <v>3</v>
      </c>
      <c r="G300" s="78"/>
      <c r="H300" s="79"/>
      <c r="I300" s="78"/>
      <c r="J300" s="81"/>
      <c r="K300" s="95"/>
      <c r="L300" s="83"/>
      <c r="M300" s="78"/>
      <c r="N300" s="104"/>
      <c r="O300" s="78"/>
      <c r="P300" s="83"/>
      <c r="Q300" s="78"/>
      <c r="R300" s="81"/>
      <c r="S300" s="78"/>
      <c r="T300" s="86"/>
    </row>
    <row r="301" spans="1:42" s="258" customFormat="1" ht="18" customHeight="1" x14ac:dyDescent="0.25">
      <c r="A301" s="415" t="s">
        <v>88</v>
      </c>
      <c r="B301" s="251" t="s">
        <v>302</v>
      </c>
      <c r="C301" s="252"/>
      <c r="D301" s="253" t="s">
        <v>303</v>
      </c>
      <c r="E301" s="87" t="s">
        <v>234</v>
      </c>
      <c r="F301" s="195" t="s">
        <v>24</v>
      </c>
      <c r="G301" s="49">
        <f>VLOOKUP(30053,[1]!qryExcelSlab[#Data],5,FALSE)</f>
        <v>1</v>
      </c>
      <c r="H301" s="50">
        <f>IF(G301=0,0,VLOOKUP(30053,[1]!qryExcelSlab[#Data],4,FALSE))</f>
        <v>100</v>
      </c>
      <c r="I301" s="254"/>
      <c r="J301" s="55"/>
      <c r="K301" s="255"/>
      <c r="L301" s="53"/>
      <c r="M301" s="416"/>
      <c r="N301" s="256"/>
      <c r="O301" s="416"/>
      <c r="P301" s="53"/>
      <c r="Q301" s="254"/>
      <c r="R301" s="55"/>
      <c r="S301" s="254"/>
      <c r="T301" s="57" t="s">
        <v>24</v>
      </c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</row>
    <row r="302" spans="1:42" s="3" customFormat="1" ht="18" customHeight="1" x14ac:dyDescent="0.25">
      <c r="A302" s="304"/>
      <c r="B302" s="73"/>
      <c r="C302" s="74"/>
      <c r="D302" s="75"/>
      <c r="E302" s="76"/>
      <c r="F302" s="103"/>
      <c r="G302" s="78"/>
      <c r="H302" s="79"/>
      <c r="I302" s="78"/>
      <c r="J302" s="81"/>
      <c r="K302" s="95"/>
      <c r="L302" s="83"/>
      <c r="M302" s="374"/>
      <c r="N302" s="104"/>
      <c r="O302" s="374"/>
      <c r="P302" s="83"/>
      <c r="Q302" s="78"/>
      <c r="R302" s="81"/>
      <c r="S302" s="78"/>
      <c r="T302" s="86"/>
    </row>
    <row r="303" spans="1:42" s="3" customFormat="1" ht="18" customHeight="1" thickBot="1" x14ac:dyDescent="0.3">
      <c r="A303" s="364" t="s">
        <v>181</v>
      </c>
      <c r="B303" s="44" t="s">
        <v>151</v>
      </c>
      <c r="C303" s="45"/>
      <c r="D303" s="46"/>
      <c r="E303" s="92" t="s">
        <v>295</v>
      </c>
      <c r="F303" s="88">
        <v>9</v>
      </c>
      <c r="G303" s="49">
        <f>VLOOKUP(17965,[1]!qryExcelSlab[#Data],5,FALSE)</f>
        <v>0</v>
      </c>
      <c r="H303" s="89">
        <f>VLOOKUP(17965,[1]!qryExcelSlab[#Data],4,FALSE)</f>
        <v>0</v>
      </c>
      <c r="I303" s="49">
        <f>VLOOKUP(23547,[1]!qryExcelSlab[#Data],5,FALSE)</f>
        <v>5</v>
      </c>
      <c r="J303" s="51">
        <f>IF(I303=0,0,VLOOKUP(23547,[1]!qryExcelSlab[#Data],4,FALSE))</f>
        <v>83</v>
      </c>
      <c r="K303" s="52">
        <f>VLOOKUP(22764,[1]!qryExcelSlab[#Data],5,FALSE)</f>
        <v>19</v>
      </c>
      <c r="L303" s="90">
        <f>IF(K303=0,0,VLOOKUP(22764,[1]!qryExcelSlab[#Data],4,FALSE))</f>
        <v>95</v>
      </c>
      <c r="M303" s="212">
        <f>VLOOKUP(19152,[1]!qryExcelSlab[#Data],5,FALSE)</f>
        <v>15</v>
      </c>
      <c r="N303" s="91">
        <f>IF(M303=0,0,VLOOKUP(19152,[1]!qryExcelSlab[#Data],4,FALSE))</f>
        <v>109</v>
      </c>
      <c r="O303" s="212">
        <f>VLOOKUP(19151,[1]!qryExcelSlab[#Data],5,FALSE)</f>
        <v>9</v>
      </c>
      <c r="P303" s="90">
        <f>IF(O303=0,0,VLOOKUP(19151,[1]!qryExcelSlab[#Data],4,FALSE))</f>
        <v>125</v>
      </c>
      <c r="Q303" s="49">
        <f>VLOOKUP(19150,[1]!qryExcelSlab[#Data],5,FALSE)</f>
        <v>0</v>
      </c>
      <c r="R303" s="51">
        <f>IF(Q303=0,0,VLOOKUP(19150,[1]!qryExcelSlab[#Data],4,FALSE))</f>
        <v>0</v>
      </c>
      <c r="S303" s="49">
        <f>VLOOKUP(19376,[1]!qryExcelSlab[#Data],5,FALSE)</f>
        <v>0</v>
      </c>
      <c r="T303" s="57" t="s">
        <v>24</v>
      </c>
    </row>
    <row r="304" spans="1:42" s="3" customFormat="1" ht="18" customHeight="1" thickTop="1" thickBot="1" x14ac:dyDescent="0.3">
      <c r="A304" s="417"/>
      <c r="B304" s="418"/>
      <c r="C304" s="107"/>
      <c r="D304" s="418"/>
      <c r="E304" s="419"/>
      <c r="F304" s="420"/>
      <c r="G304" s="421"/>
      <c r="H304" s="422"/>
      <c r="I304" s="421"/>
      <c r="J304" s="423"/>
      <c r="K304" s="424"/>
      <c r="L304" s="422"/>
      <c r="M304" s="425"/>
      <c r="N304" s="426"/>
      <c r="O304" s="425"/>
      <c r="P304" s="422"/>
      <c r="Q304" s="421"/>
      <c r="R304" s="423"/>
      <c r="S304" s="421"/>
      <c r="T304" s="427"/>
    </row>
    <row r="305" spans="1:42" s="3" customFormat="1" ht="18" customHeight="1" thickTop="1" thickBot="1" x14ac:dyDescent="0.3">
      <c r="A305" s="304"/>
      <c r="B305" s="407"/>
      <c r="C305" s="377"/>
      <c r="D305" s="407"/>
      <c r="E305" s="408"/>
      <c r="F305" s="220" t="s">
        <v>83</v>
      </c>
      <c r="G305" s="275" t="s">
        <v>84</v>
      </c>
      <c r="H305" s="276"/>
      <c r="I305" s="275" t="s">
        <v>6</v>
      </c>
      <c r="J305" s="283"/>
      <c r="K305" s="284" t="s">
        <v>7</v>
      </c>
      <c r="L305" s="25"/>
      <c r="M305" s="275" t="s">
        <v>8</v>
      </c>
      <c r="N305" s="283"/>
      <c r="O305" s="275" t="s">
        <v>9</v>
      </c>
      <c r="P305" s="283"/>
      <c r="Q305" s="275" t="s">
        <v>10</v>
      </c>
      <c r="R305" s="283"/>
      <c r="S305" s="27" t="s">
        <v>11</v>
      </c>
      <c r="T305" s="27"/>
    </row>
    <row r="306" spans="1:42" s="3" customFormat="1" ht="18" customHeight="1" thickTop="1" x14ac:dyDescent="0.25">
      <c r="A306" s="9"/>
      <c r="C306" s="428"/>
      <c r="E306" s="12"/>
      <c r="F306" s="133"/>
      <c r="G306" s="133"/>
      <c r="H306" s="5"/>
      <c r="I306" s="133"/>
      <c r="J306" s="134"/>
      <c r="K306" s="135"/>
      <c r="L306" s="136"/>
      <c r="M306" s="133"/>
      <c r="N306" s="137"/>
      <c r="O306" s="133"/>
      <c r="P306" s="134"/>
      <c r="Q306" s="133"/>
      <c r="R306" s="134"/>
      <c r="S306" s="133"/>
      <c r="T306" s="133"/>
    </row>
    <row r="307" spans="1:42" s="3" customFormat="1" ht="52.5" customHeight="1" thickBot="1" x14ac:dyDescent="0.3">
      <c r="A307" s="9"/>
      <c r="C307" s="428"/>
      <c r="H307" s="5"/>
      <c r="J307" s="5"/>
      <c r="L307" s="5"/>
      <c r="P307" s="5"/>
      <c r="R307" s="5"/>
    </row>
    <row r="308" spans="1:42" s="3" customFormat="1" ht="16.5" thickBot="1" x14ac:dyDescent="0.3">
      <c r="A308" s="429" t="s">
        <v>304</v>
      </c>
      <c r="B308" s="430" t="s">
        <v>305</v>
      </c>
      <c r="C308" s="429" t="s">
        <v>306</v>
      </c>
      <c r="D308" s="431" t="s">
        <v>5</v>
      </c>
      <c r="E308" s="432"/>
      <c r="F308" s="431" t="s">
        <v>307</v>
      </c>
      <c r="G308" s="432"/>
      <c r="H308" s="431" t="s">
        <v>308</v>
      </c>
      <c r="I308" s="433"/>
      <c r="J308" s="431" t="s">
        <v>309</v>
      </c>
      <c r="K308" s="434"/>
      <c r="L308" s="435" t="s">
        <v>310</v>
      </c>
      <c r="M308" s="433"/>
      <c r="N308" s="431" t="s">
        <v>311</v>
      </c>
      <c r="O308" s="434"/>
      <c r="P308" s="5"/>
      <c r="Q308" s="98" t="s">
        <v>3</v>
      </c>
      <c r="R308" s="5"/>
    </row>
    <row r="309" spans="1:42" s="3" customFormat="1" ht="15.75" x14ac:dyDescent="0.25">
      <c r="A309" s="436"/>
      <c r="B309" s="437" t="s">
        <v>312</v>
      </c>
      <c r="C309" s="438"/>
      <c r="D309" s="439" t="s">
        <v>313</v>
      </c>
      <c r="E309" s="440" t="s">
        <v>314</v>
      </c>
      <c r="F309" s="441" t="s">
        <v>313</v>
      </c>
      <c r="G309" s="442" t="s">
        <v>314</v>
      </c>
      <c r="H309" s="443" t="s">
        <v>313</v>
      </c>
      <c r="I309" s="442" t="s">
        <v>314</v>
      </c>
      <c r="J309" s="443" t="s">
        <v>313</v>
      </c>
      <c r="K309" s="442" t="s">
        <v>314</v>
      </c>
      <c r="L309" s="443" t="s">
        <v>313</v>
      </c>
      <c r="M309" s="442" t="s">
        <v>314</v>
      </c>
      <c r="N309" s="442" t="s">
        <v>313</v>
      </c>
      <c r="O309" s="442" t="s">
        <v>314</v>
      </c>
      <c r="P309" s="5"/>
      <c r="R309" s="5"/>
    </row>
    <row r="310" spans="1:42" s="453" customFormat="1" ht="15.6" customHeight="1" x14ac:dyDescent="0.25">
      <c r="A310" s="444" t="s">
        <v>3</v>
      </c>
      <c r="B310" s="445" t="s">
        <v>315</v>
      </c>
      <c r="C310" s="446" t="s">
        <v>316</v>
      </c>
      <c r="D310" s="447">
        <f>VLOOKUP(30104,[1]!qryExcelSlab[#Data],5,FALSE)</f>
        <v>0</v>
      </c>
      <c r="E310" s="448">
        <f>IF(D310=0,0,VLOOKUP(30104,[1]!qryExcelSlab[#Data],4,FALSE))</f>
        <v>0</v>
      </c>
      <c r="F310" s="449" t="s">
        <v>3</v>
      </c>
      <c r="G310" s="448"/>
      <c r="H310" s="450"/>
      <c r="I310" s="448"/>
      <c r="J310" s="450"/>
      <c r="K310" s="448"/>
      <c r="L310" s="451"/>
      <c r="M310" s="448"/>
      <c r="N310" s="452"/>
      <c r="O310" s="448"/>
      <c r="P310" s="5"/>
      <c r="Q310" s="3"/>
      <c r="R310" s="5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</row>
    <row r="311" spans="1:42" s="3" customFormat="1" ht="15.6" customHeight="1" x14ac:dyDescent="0.25">
      <c r="A311" s="454"/>
      <c r="B311" s="313"/>
      <c r="C311" s="455"/>
      <c r="D311" s="456"/>
      <c r="E311" s="404"/>
      <c r="F311" s="334"/>
      <c r="G311" s="404"/>
      <c r="H311" s="457"/>
      <c r="I311" s="404"/>
      <c r="J311" s="457"/>
      <c r="K311" s="404"/>
      <c r="L311" s="458"/>
      <c r="M311" s="404"/>
      <c r="N311" s="403"/>
      <c r="O311" s="404"/>
      <c r="P311" s="5"/>
      <c r="R311" s="5"/>
    </row>
    <row r="312" spans="1:42" s="453" customFormat="1" ht="15.6" customHeight="1" x14ac:dyDescent="0.25">
      <c r="A312" s="98" t="s">
        <v>317</v>
      </c>
      <c r="B312" s="459" t="s">
        <v>318</v>
      </c>
      <c r="C312" s="446"/>
      <c r="D312" s="447">
        <f>VLOOKUP(30627,[1]!qryExcelSlab[#Data],5,FALSE)</f>
        <v>4</v>
      </c>
      <c r="E312" s="448">
        <f>IF(D312=0,0,VLOOKUP(30627,[1]!qryExcelSlab[#Data],4,FALSE))</f>
        <v>42</v>
      </c>
      <c r="F312" s="449"/>
      <c r="G312" s="448"/>
      <c r="H312" s="450"/>
      <c r="I312" s="448"/>
      <c r="J312" s="450"/>
      <c r="K312" s="448"/>
      <c r="L312" s="451"/>
      <c r="M312" s="448"/>
      <c r="N312" s="452"/>
      <c r="O312" s="448"/>
      <c r="P312" s="5"/>
      <c r="Q312" s="3"/>
      <c r="R312" s="5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</row>
    <row r="313" spans="1:42" s="3" customFormat="1" ht="15.6" customHeight="1" x14ac:dyDescent="0.25">
      <c r="A313" s="455"/>
      <c r="B313" s="313"/>
      <c r="C313" s="455"/>
      <c r="D313" s="403"/>
      <c r="E313" s="404"/>
      <c r="F313" s="460"/>
      <c r="G313" s="404"/>
      <c r="H313" s="458"/>
      <c r="I313" s="404"/>
      <c r="J313" s="458"/>
      <c r="K313" s="404"/>
      <c r="L313" s="458"/>
      <c r="M313" s="404"/>
      <c r="N313" s="403"/>
      <c r="O313" s="404"/>
      <c r="P313" s="5"/>
      <c r="R313" s="5"/>
      <c r="W313" s="5" t="s">
        <v>3</v>
      </c>
    </row>
    <row r="314" spans="1:42" s="466" customFormat="1" ht="15.6" customHeight="1" x14ac:dyDescent="0.25">
      <c r="A314" s="461" t="s">
        <v>3</v>
      </c>
      <c r="B314" s="462" t="s">
        <v>319</v>
      </c>
      <c r="C314" s="463" t="s">
        <v>320</v>
      </c>
      <c r="D314" s="447">
        <f>VLOOKUP(30283,[1]!qryExcelSlab[#Data],5,FALSE)</f>
        <v>0</v>
      </c>
      <c r="E314" s="464">
        <f>IF(D314=0,0,VLOOKUP(30283,[1]!qryExcelSlab[#Data],4,FALSE))</f>
        <v>0</v>
      </c>
      <c r="F314" s="449" t="s">
        <v>3</v>
      </c>
      <c r="G314" s="464"/>
      <c r="H314" s="450"/>
      <c r="I314" s="464"/>
      <c r="J314" s="450"/>
      <c r="K314" s="464"/>
      <c r="L314" s="465"/>
      <c r="M314" s="464"/>
      <c r="N314" s="452"/>
      <c r="O314" s="464"/>
      <c r="P314" s="3"/>
      <c r="Q314" s="3"/>
      <c r="R314" s="5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</row>
    <row r="315" spans="1:42" s="3" customFormat="1" ht="15.6" customHeight="1" x14ac:dyDescent="0.25">
      <c r="A315" s="455"/>
      <c r="B315" s="313"/>
      <c r="C315" s="455"/>
      <c r="D315" s="403"/>
      <c r="E315" s="404"/>
      <c r="F315" s="460"/>
      <c r="G315" s="404"/>
      <c r="H315" s="458"/>
      <c r="I315" s="404"/>
      <c r="J315" s="458"/>
      <c r="K315" s="404"/>
      <c r="L315" s="458"/>
      <c r="M315" s="404"/>
      <c r="N315" s="403"/>
      <c r="O315" s="404"/>
      <c r="P315" s="5"/>
      <c r="R315" s="5"/>
    </row>
    <row r="316" spans="1:42" s="3" customFormat="1" ht="15.6" customHeight="1" x14ac:dyDescent="0.25">
      <c r="A316" s="455"/>
      <c r="B316" s="467" t="s">
        <v>321</v>
      </c>
      <c r="C316" s="455"/>
      <c r="D316" s="403"/>
      <c r="E316" s="404"/>
      <c r="F316" s="460"/>
      <c r="G316" s="404"/>
      <c r="H316" s="458"/>
      <c r="I316" s="404"/>
      <c r="J316" s="458"/>
      <c r="K316" s="404"/>
      <c r="L316" s="458"/>
      <c r="M316" s="404"/>
      <c r="N316" s="403"/>
      <c r="O316" s="404"/>
      <c r="P316" s="5"/>
      <c r="R316" s="5"/>
    </row>
    <row r="317" spans="1:42" s="466" customFormat="1" ht="15.6" customHeight="1" x14ac:dyDescent="0.25">
      <c r="A317" s="98" t="s">
        <v>147</v>
      </c>
      <c r="B317" s="462" t="s">
        <v>322</v>
      </c>
      <c r="C317" s="463" t="s">
        <v>323</v>
      </c>
      <c r="D317" s="452" t="s">
        <v>3</v>
      </c>
      <c r="E317" s="464"/>
      <c r="F317" s="449">
        <f>VLOOKUP(17949,[1]!qryExcelSlab[#Data],5,FALSE)</f>
        <v>0</v>
      </c>
      <c r="G317" s="464">
        <f>VLOOKUP(17949,[1]!qryExcelSlab[#Data],4,FALSE)</f>
        <v>0</v>
      </c>
      <c r="H317" s="450">
        <f>VLOOKUP(17948,[1]!qryExcelSlab[#Data],5,FALSE)</f>
        <v>0</v>
      </c>
      <c r="I317" s="464">
        <f>VLOOKUP(17948,[1]!qryExcelSlab[#Data],4,FALSE)</f>
        <v>0</v>
      </c>
      <c r="J317" s="450">
        <f>VLOOKUP(17855,[1]!qryExcelSlab[#Data],5,FALSE)</f>
        <v>51</v>
      </c>
      <c r="K317" s="464">
        <f>IF(J317=0,0,VLOOKUP(17855,[1]!qryExcelSlab[#Data],4,FALSE))</f>
        <v>40</v>
      </c>
      <c r="L317" s="465"/>
      <c r="M317" s="464"/>
      <c r="N317" s="452"/>
      <c r="O317" s="464"/>
      <c r="P317" s="5"/>
      <c r="Q317" s="3"/>
      <c r="R317" s="5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</row>
    <row r="318" spans="1:42" s="3" customFormat="1" ht="15.6" customHeight="1" x14ac:dyDescent="0.25">
      <c r="A318" s="455"/>
      <c r="B318" s="313"/>
      <c r="C318" s="455"/>
      <c r="D318" s="403"/>
      <c r="E318" s="404"/>
      <c r="F318" s="460"/>
      <c r="G318" s="404"/>
      <c r="H318" s="458"/>
      <c r="I318" s="404"/>
      <c r="J318" s="458"/>
      <c r="K318" s="404"/>
      <c r="L318" s="458"/>
      <c r="M318" s="404"/>
      <c r="N318" s="403"/>
      <c r="O318" s="404"/>
      <c r="P318" s="5"/>
      <c r="R318" s="5"/>
    </row>
    <row r="319" spans="1:42" s="466" customFormat="1" ht="15.6" customHeight="1" x14ac:dyDescent="0.25">
      <c r="A319" s="468" t="s">
        <v>324</v>
      </c>
      <c r="B319" s="462" t="s">
        <v>325</v>
      </c>
      <c r="C319" s="463" t="s">
        <v>326</v>
      </c>
      <c r="D319" s="452" t="s">
        <v>3</v>
      </c>
      <c r="E319" s="464"/>
      <c r="F319" s="449">
        <f>VLOOKUP(17953,[1]!qryExcelSlab[#Data],5,FALSE)</f>
        <v>0</v>
      </c>
      <c r="G319" s="464">
        <f>VLOOKUP(17953,[1]!qryExcelSlab[#Data],4,FALSE)</f>
        <v>0</v>
      </c>
      <c r="H319" s="450">
        <f>VLOOKUP(17952,[1]!qryExcelSlab[#Data],5,FALSE)</f>
        <v>0</v>
      </c>
      <c r="I319" s="464">
        <f>IF(H319=0,0,VLOOKUP(17952,[1]!qryExcelSlab[#Data],4,FALSE))</f>
        <v>0</v>
      </c>
      <c r="J319" s="450">
        <f>VLOOKUP(17854,[1]!qryExcelSlab[#Data],5,FALSE)</f>
        <v>67</v>
      </c>
      <c r="K319" s="464">
        <f>IF(J319=0,0,VLOOKUP(17854,[1]!qryExcelSlab[#Data],4,FALSE))</f>
        <v>45</v>
      </c>
      <c r="L319" s="465"/>
      <c r="M319" s="464"/>
      <c r="N319" s="452"/>
      <c r="O319" s="464"/>
      <c r="P319" s="5"/>
      <c r="Q319" s="3"/>
      <c r="R319" s="5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</row>
    <row r="320" spans="1:42" s="3" customFormat="1" ht="15.6" customHeight="1" x14ac:dyDescent="0.25">
      <c r="A320" s="455"/>
      <c r="B320" s="313"/>
      <c r="C320" s="455"/>
      <c r="D320" s="403"/>
      <c r="E320" s="404"/>
      <c r="F320" s="460"/>
      <c r="G320" s="404"/>
      <c r="H320" s="458"/>
      <c r="I320" s="404"/>
      <c r="J320" s="458"/>
      <c r="K320" s="404"/>
      <c r="L320" s="458"/>
      <c r="M320" s="404"/>
      <c r="N320" s="403"/>
      <c r="O320" s="404"/>
      <c r="P320" s="5"/>
      <c r="R320" s="5"/>
    </row>
    <row r="321" spans="1:44" s="466" customFormat="1" ht="15.6" customHeight="1" x14ac:dyDescent="0.25">
      <c r="A321" s="468" t="s">
        <v>3</v>
      </c>
      <c r="B321" s="462" t="s">
        <v>327</v>
      </c>
      <c r="C321" s="463" t="s">
        <v>328</v>
      </c>
      <c r="D321" s="452" t="s">
        <v>3</v>
      </c>
      <c r="E321" s="464"/>
      <c r="F321" s="449">
        <f>VLOOKUP(17859,[1]!qryExcelSlab[#Data],5,FALSE)</f>
        <v>0</v>
      </c>
      <c r="G321" s="464">
        <f>IF(F321=0,0,VLOOKUP(17859,[1]!qryExcelSlab[#Data],4,FALSE))</f>
        <v>0</v>
      </c>
      <c r="H321" s="450">
        <f>VLOOKUP(17858,[1]!qryExcelSlab[#Data],5,FALSE)</f>
        <v>3</v>
      </c>
      <c r="I321" s="464">
        <f>IF(H321=0,0,VLOOKUP(17858,[1]!qryExcelSlab[#Data],4,FALSE))</f>
        <v>89</v>
      </c>
      <c r="J321" s="450">
        <f>VLOOKUP(17857,[1]!qryExcelSlab[#Data],5,FALSE)</f>
        <v>0</v>
      </c>
      <c r="K321" s="464">
        <f>IF(J321=0,0,VLOOKUP(17857,[1]!qryExcelSlab[#Data],4,FALSE))</f>
        <v>0</v>
      </c>
      <c r="L321" s="469">
        <f>VLOOKUP(17856,[1]!qryExcelSlab[#Data],5,FALSE)</f>
        <v>0</v>
      </c>
      <c r="M321" s="464">
        <f>IF(L321=0,0,VLOOKUP(17856,[1]!qryExcelSlab[#Data],4,FALSE))</f>
        <v>0</v>
      </c>
      <c r="N321" s="452"/>
      <c r="O321" s="464"/>
      <c r="P321" s="5"/>
      <c r="Q321" s="3"/>
      <c r="R321" s="5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</row>
    <row r="322" spans="1:44" s="3" customFormat="1" ht="15.6" customHeight="1" x14ac:dyDescent="0.25">
      <c r="A322" s="455"/>
      <c r="B322" s="313"/>
      <c r="C322" s="455"/>
      <c r="D322" s="403"/>
      <c r="E322" s="404"/>
      <c r="F322" s="460"/>
      <c r="G322" s="404"/>
      <c r="H322" s="458"/>
      <c r="I322" s="404"/>
      <c r="J322" s="458"/>
      <c r="K322" s="404"/>
      <c r="L322" s="458"/>
      <c r="M322" s="404"/>
      <c r="N322" s="403"/>
      <c r="O322" s="404"/>
      <c r="P322" s="5"/>
      <c r="R322" s="5"/>
    </row>
    <row r="323" spans="1:44" s="466" customFormat="1" ht="15.6" customHeight="1" x14ac:dyDescent="0.25">
      <c r="A323" s="98" t="s">
        <v>147</v>
      </c>
      <c r="B323" s="462" t="s">
        <v>329</v>
      </c>
      <c r="C323" s="463" t="s">
        <v>330</v>
      </c>
      <c r="D323" s="452" t="s">
        <v>3</v>
      </c>
      <c r="E323" s="464"/>
      <c r="F323" s="449">
        <f>VLOOKUP(17944,[1]!qryExcelSlab[#Data],5,FALSE)</f>
        <v>0</v>
      </c>
      <c r="G323" s="464">
        <f>IF(F323=0,0,VLOOKUP(17944,[1]!qryExcelSlab[#Data],4,FALSE))</f>
        <v>0</v>
      </c>
      <c r="H323" s="450">
        <f>VLOOKUP(17943,[1]!qryExcelSlab[#Data],5,FALSE)</f>
        <v>0</v>
      </c>
      <c r="I323" s="464">
        <f>IF(H323=0,0,VLOOKUP(17943,[1]!qryExcelSlab[#Data],4,FALSE))</f>
        <v>0</v>
      </c>
      <c r="J323" s="450">
        <f>VLOOKUP(17898,[1]!qryExcelSlab[#Data],5,FALSE)</f>
        <v>75</v>
      </c>
      <c r="K323" s="464">
        <f>IF(J323=0,0,VLOOKUP(17898,[1]!qryExcelSlab[#Data],4,FALSE))</f>
        <v>40</v>
      </c>
      <c r="L323" s="465"/>
      <c r="M323" s="464"/>
      <c r="N323" s="452"/>
      <c r="O323" s="464"/>
      <c r="P323" s="3"/>
      <c r="Q323" s="3"/>
      <c r="R323" s="5"/>
      <c r="S323" s="3"/>
      <c r="T323" s="3"/>
      <c r="U323" s="3"/>
      <c r="V323" s="3"/>
      <c r="W323" s="5" t="s">
        <v>3</v>
      </c>
      <c r="X323" s="98" t="s">
        <v>3</v>
      </c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</row>
    <row r="324" spans="1:44" s="466" customFormat="1" ht="15.6" customHeight="1" x14ac:dyDescent="0.25">
      <c r="A324" s="98" t="s">
        <v>147</v>
      </c>
      <c r="B324" s="462" t="s">
        <v>331</v>
      </c>
      <c r="C324" s="463"/>
      <c r="D324" s="452"/>
      <c r="E324" s="464"/>
      <c r="F324" s="449">
        <f>VLOOKUP(17939,[1]!qryExcelSlab[#Data],5,FALSE)</f>
        <v>0</v>
      </c>
      <c r="G324" s="464">
        <f>IF(F324=0,0,VLOOKUP(17939,[1]!qryExcelSlab[#Data],4,FALSE))</f>
        <v>0</v>
      </c>
      <c r="H324" s="450">
        <f>VLOOKUP(17938,[1]!qryExcelSlab[#Data],5,FALSE)</f>
        <v>0</v>
      </c>
      <c r="I324" s="464">
        <f>IF(H324=0,0,VLOOKUP(17938,[1]!qryExcelSlab[#Data],4,FALSE))</f>
        <v>0</v>
      </c>
      <c r="J324" s="450">
        <f>VLOOKUP(17852,[1]!qryExcelSlab[#Data],5,FALSE)</f>
        <v>47</v>
      </c>
      <c r="K324" s="464">
        <f>IF(J324=0,0,VLOOKUP(17852,[1]!qryExcelSlab[#Data],4,FALSE))</f>
        <v>40</v>
      </c>
      <c r="L324" s="465"/>
      <c r="M324" s="464"/>
      <c r="N324" s="452"/>
      <c r="O324" s="464"/>
      <c r="P324" s="5"/>
      <c r="Q324" s="3"/>
      <c r="R324" s="5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</row>
    <row r="325" spans="1:44" s="3" customFormat="1" ht="15.6" customHeight="1" x14ac:dyDescent="0.25">
      <c r="A325" s="455"/>
      <c r="B325" s="313"/>
      <c r="C325" s="455"/>
      <c r="D325" s="403"/>
      <c r="E325" s="404"/>
      <c r="F325" s="460"/>
      <c r="G325" s="404"/>
      <c r="H325" s="458"/>
      <c r="I325" s="404"/>
      <c r="J325" s="458"/>
      <c r="K325" s="404"/>
      <c r="L325" s="458"/>
      <c r="M325" s="404"/>
      <c r="N325" s="403"/>
      <c r="O325" s="404"/>
      <c r="P325" s="5"/>
      <c r="R325" s="5"/>
    </row>
    <row r="326" spans="1:44" s="466" customFormat="1" ht="15.6" customHeight="1" x14ac:dyDescent="0.25">
      <c r="A326" s="470" t="s">
        <v>332</v>
      </c>
      <c r="B326" s="462" t="s">
        <v>333</v>
      </c>
      <c r="C326" s="463" t="s">
        <v>334</v>
      </c>
      <c r="D326" s="452"/>
      <c r="E326" s="464"/>
      <c r="F326" s="447"/>
      <c r="G326" s="464"/>
      <c r="H326" s="450"/>
      <c r="I326" s="464"/>
      <c r="J326" s="450">
        <f>VLOOKUP(30565,[1]!qryExcelSlab[#Data],5,FALSE)</f>
        <v>17</v>
      </c>
      <c r="K326" s="464">
        <f>IF(J326=0,0,VLOOKUP(30565,[1]!qryExcelSlab[#Data],4,FALSE))</f>
        <v>59</v>
      </c>
      <c r="L326" s="469"/>
      <c r="M326" s="464"/>
      <c r="N326" s="452"/>
      <c r="O326" s="471"/>
      <c r="P326" s="5"/>
      <c r="Q326" s="3"/>
      <c r="R326" s="5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</row>
    <row r="327" spans="1:44" s="3" customFormat="1" ht="15.6" customHeight="1" x14ac:dyDescent="0.25">
      <c r="A327" s="454"/>
      <c r="B327" s="313" t="s">
        <v>3</v>
      </c>
      <c r="C327" s="455"/>
      <c r="D327" s="472"/>
      <c r="E327" s="473"/>
      <c r="F327" s="474"/>
      <c r="G327" s="473"/>
      <c r="H327" s="475"/>
      <c r="I327" s="473"/>
      <c r="J327" s="475"/>
      <c r="K327" s="473"/>
      <c r="L327" s="475"/>
      <c r="M327" s="473"/>
      <c r="N327" s="403"/>
      <c r="O327" s="476"/>
      <c r="P327" s="5"/>
      <c r="R327" s="5"/>
    </row>
    <row r="328" spans="1:44" s="481" customFormat="1" ht="15.6" customHeight="1" x14ac:dyDescent="0.25">
      <c r="A328" s="477" t="s">
        <v>335</v>
      </c>
      <c r="B328" s="478" t="s">
        <v>336</v>
      </c>
      <c r="C328" s="479" t="s">
        <v>337</v>
      </c>
      <c r="D328" s="452"/>
      <c r="E328" s="464"/>
      <c r="F328" s="447"/>
      <c r="G328" s="464"/>
      <c r="H328" s="450"/>
      <c r="I328" s="464"/>
      <c r="J328" s="450">
        <f>VLOOKUP(30566,[1]!qryExcelSlab[#Data],5,FALSE)</f>
        <v>26</v>
      </c>
      <c r="K328" s="464">
        <f>IF(J328=0,0,VLOOKUP(30566,[1]!qryExcelSlab[#Data],4,FALSE))</f>
        <v>59</v>
      </c>
      <c r="L328" s="469"/>
      <c r="M328" s="464"/>
      <c r="N328" s="452"/>
      <c r="O328" s="464"/>
      <c r="P328" s="5"/>
      <c r="Q328" s="3"/>
      <c r="R328" s="5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480"/>
    </row>
    <row r="329" spans="1:44" s="3" customFormat="1" ht="15.6" customHeight="1" x14ac:dyDescent="0.25">
      <c r="A329" s="482"/>
      <c r="B329" s="483"/>
      <c r="C329" s="428"/>
      <c r="D329" s="484"/>
      <c r="E329" s="485"/>
      <c r="F329" s="486"/>
      <c r="G329" s="485"/>
      <c r="H329" s="487"/>
      <c r="I329" s="485"/>
      <c r="J329" s="487"/>
      <c r="K329" s="485"/>
      <c r="L329" s="487"/>
      <c r="M329" s="485"/>
      <c r="N329" s="403"/>
      <c r="O329" s="488"/>
      <c r="P329" s="5"/>
      <c r="R329" s="5"/>
    </row>
    <row r="330" spans="1:44" s="466" customFormat="1" ht="15.6" customHeight="1" x14ac:dyDescent="0.25">
      <c r="A330" s="477" t="s">
        <v>338</v>
      </c>
      <c r="B330" s="478" t="s">
        <v>339</v>
      </c>
      <c r="C330" s="489" t="s">
        <v>340</v>
      </c>
      <c r="D330" s="490"/>
      <c r="E330" s="491"/>
      <c r="F330" s="492"/>
      <c r="G330" s="491"/>
      <c r="H330" s="493"/>
      <c r="I330" s="491"/>
      <c r="J330" s="493">
        <f>VLOOKUP(30589,[1]!qryExcelSlab[#Data],5,FALSE)</f>
        <v>11</v>
      </c>
      <c r="K330" s="491">
        <f>IF(J330=0,0,VLOOKUP(30589,[1]!qryExcelSlab[#Data],4,FALSE))</f>
        <v>59</v>
      </c>
      <c r="L330" s="494"/>
      <c r="M330" s="491"/>
      <c r="N330" s="452"/>
      <c r="O330" s="471"/>
      <c r="P330" s="5"/>
      <c r="Q330" s="3"/>
      <c r="R330" s="5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</row>
    <row r="331" spans="1:44" s="3" customFormat="1" ht="15.6" customHeight="1" x14ac:dyDescent="0.25">
      <c r="A331" s="495"/>
      <c r="B331" s="313"/>
      <c r="C331" s="455"/>
      <c r="D331" s="496"/>
      <c r="E331" s="497"/>
      <c r="F331" s="498"/>
      <c r="G331" s="497"/>
      <c r="H331" s="499"/>
      <c r="I331" s="497"/>
      <c r="J331" s="499"/>
      <c r="K331" s="497"/>
      <c r="L331" s="499"/>
      <c r="M331" s="497"/>
      <c r="N331" s="472"/>
      <c r="O331" s="476"/>
      <c r="P331" s="500"/>
      <c r="R331" s="5"/>
    </row>
    <row r="332" spans="1:44" s="481" customFormat="1" ht="15.6" customHeight="1" x14ac:dyDescent="0.25">
      <c r="A332" s="501" t="s">
        <v>341</v>
      </c>
      <c r="B332" s="478" t="s">
        <v>342</v>
      </c>
      <c r="C332" s="502" t="s">
        <v>337</v>
      </c>
      <c r="D332" s="452"/>
      <c r="E332" s="464"/>
      <c r="F332" s="447">
        <f>VLOOKUP(17957,[1]!qryExcelSlab[#Data],5,FALSE)</f>
        <v>0</v>
      </c>
      <c r="G332" s="503">
        <f>VLOOKUP(17957,[1]!qryExcelSlab[#Data],4,FALSE)</f>
        <v>0</v>
      </c>
      <c r="H332" s="450">
        <f>VLOOKUP(17956,[1]!qryExcelSlab[#Data],5,FALSE)</f>
        <v>0</v>
      </c>
      <c r="I332" s="503">
        <f>VLOOKUP(17956,[1]!qryExcelSlab[#Data],4,FALSE)</f>
        <v>0</v>
      </c>
      <c r="J332" s="450">
        <f>VLOOKUP(17853,[1]!qryExcelSlab[#Data],5,FALSE)</f>
        <v>24</v>
      </c>
      <c r="K332" s="504">
        <f>IF(J332=0,0,VLOOKUP(17853,[1]!qryExcelSlab[#Data],4,FALSE))</f>
        <v>40</v>
      </c>
      <c r="L332" s="469"/>
      <c r="M332" s="464"/>
      <c r="N332" s="452"/>
      <c r="O332" s="464"/>
      <c r="P332" s="500"/>
      <c r="Q332" s="3"/>
      <c r="R332" s="5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466"/>
      <c r="AR332" s="480"/>
    </row>
    <row r="333" spans="1:44" s="3" customFormat="1" ht="15.6" customHeight="1" x14ac:dyDescent="0.25">
      <c r="A333" s="505"/>
      <c r="C333" s="455"/>
      <c r="D333" s="403"/>
      <c r="E333" s="404"/>
      <c r="F333" s="403"/>
      <c r="G333" s="404"/>
      <c r="H333" s="458"/>
      <c r="I333" s="404"/>
      <c r="J333" s="458"/>
      <c r="K333" s="404"/>
      <c r="L333" s="458"/>
      <c r="M333" s="404"/>
      <c r="N333" s="403"/>
      <c r="O333" s="404"/>
      <c r="P333" s="5"/>
      <c r="R333" s="5"/>
    </row>
    <row r="334" spans="1:44" s="466" customFormat="1" ht="15.6" customHeight="1" x14ac:dyDescent="0.25">
      <c r="A334" s="506" t="s">
        <v>343</v>
      </c>
      <c r="B334" s="507" t="s">
        <v>344</v>
      </c>
      <c r="C334" s="463"/>
      <c r="D334" s="452"/>
      <c r="E334" s="448"/>
      <c r="F334" s="447">
        <f>VLOOKUP(30826,[1]!qryExcelSlab[#Data],5,FALSE)</f>
        <v>23</v>
      </c>
      <c r="G334" s="448">
        <f>IF(F334=0,0,VLOOKUP(30826,[1]!qryExcelSlab[#Data],4,FALSE))</f>
        <v>70</v>
      </c>
      <c r="H334" s="451"/>
      <c r="I334" s="448"/>
      <c r="J334" s="451"/>
      <c r="K334" s="448"/>
      <c r="L334" s="451"/>
      <c r="M334" s="448"/>
      <c r="N334" s="452"/>
      <c r="O334" s="448"/>
      <c r="P334" s="5"/>
      <c r="Q334" s="3"/>
      <c r="R334" s="5"/>
      <c r="S334" s="3"/>
      <c r="T334" s="3"/>
      <c r="U334" s="3"/>
      <c r="V334" s="3"/>
      <c r="W334" s="3" t="s">
        <v>3</v>
      </c>
      <c r="X334" s="98" t="s">
        <v>3</v>
      </c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</row>
    <row r="335" spans="1:44" s="3" customFormat="1" ht="15.6" customHeight="1" thickBot="1" x14ac:dyDescent="0.3">
      <c r="A335" s="508"/>
      <c r="C335" s="455"/>
      <c r="E335" s="509"/>
      <c r="F335" s="398"/>
      <c r="G335" s="510"/>
      <c r="H335" s="511"/>
      <c r="I335" s="510"/>
      <c r="J335" s="511"/>
      <c r="K335" s="510"/>
      <c r="L335" s="511"/>
      <c r="M335" s="512"/>
      <c r="N335" s="313"/>
      <c r="P335" s="5"/>
      <c r="R335" s="5"/>
    </row>
    <row r="336" spans="1:44" s="3" customFormat="1" ht="32.25" thickBot="1" x14ac:dyDescent="0.3">
      <c r="A336" s="429" t="s">
        <v>345</v>
      </c>
      <c r="B336" s="430" t="s">
        <v>305</v>
      </c>
      <c r="C336" s="429" t="s">
        <v>306</v>
      </c>
      <c r="D336" s="431"/>
      <c r="E336" s="432"/>
      <c r="F336" s="431" t="s">
        <v>346</v>
      </c>
      <c r="G336" s="432"/>
      <c r="H336" s="431" t="s">
        <v>347</v>
      </c>
      <c r="I336" s="433"/>
      <c r="J336" s="431" t="s">
        <v>348</v>
      </c>
      <c r="K336" s="434"/>
      <c r="L336" s="435" t="s">
        <v>349</v>
      </c>
      <c r="M336" s="433"/>
      <c r="N336" s="431"/>
      <c r="O336" s="434"/>
      <c r="P336" s="5"/>
      <c r="R336" s="5"/>
    </row>
    <row r="337" spans="1:42" s="466" customFormat="1" ht="15.6" customHeight="1" x14ac:dyDescent="0.25">
      <c r="A337" s="98" t="s">
        <v>147</v>
      </c>
      <c r="B337" s="462" t="s">
        <v>350</v>
      </c>
      <c r="C337" s="463" t="s">
        <v>351</v>
      </c>
      <c r="D337" s="513"/>
      <c r="E337" s="481"/>
      <c r="F337" s="514">
        <f>VLOOKUP(22872,[1]!qryExcelSlab[#Data],5,FALSE)</f>
        <v>443</v>
      </c>
      <c r="G337" s="515">
        <f>VLOOKUP(22872,[1]!qryExcelSlab[#Data],4,FALSE)</f>
        <v>24</v>
      </c>
      <c r="H337" s="516">
        <f>VLOOKUP(16913,[1]!qryExcelSlab[#Data],5,FALSE)</f>
        <v>34</v>
      </c>
      <c r="I337" s="515">
        <f>VLOOKUP(16913,[1]!qryExcelSlab[#Data],4,FALSE)</f>
        <v>32</v>
      </c>
      <c r="J337" s="516">
        <f>VLOOKUP(16916,[1]!qryExcelSlab[#Data],5,FALSE)</f>
        <v>200</v>
      </c>
      <c r="K337" s="515">
        <f>VLOOKUP(16916,[1]!qryExcelSlab[#Data],4,FALSE)</f>
        <v>42</v>
      </c>
      <c r="L337" s="517">
        <f>VLOOKUP(19658,[1]!qryExcelSlab[#Data],5,FALSE)</f>
        <v>33</v>
      </c>
      <c r="M337" s="515">
        <f>VLOOKUP(19658,[1]!qryExcelSlab[#Data],4,FALSE)</f>
        <v>64</v>
      </c>
      <c r="N337" s="513"/>
      <c r="O337" s="481"/>
      <c r="P337" s="5"/>
      <c r="Q337" s="3"/>
      <c r="R337" s="5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</row>
    <row r="338" spans="1:42" s="3" customFormat="1" ht="15.6" customHeight="1" thickBot="1" x14ac:dyDescent="0.3">
      <c r="A338" s="454"/>
      <c r="C338" s="455"/>
      <c r="F338" s="398"/>
      <c r="G338" s="509"/>
      <c r="H338" s="511"/>
      <c r="I338" s="509"/>
      <c r="J338" s="511"/>
      <c r="K338" s="509"/>
      <c r="L338" s="511"/>
      <c r="M338" s="512"/>
      <c r="N338" s="313"/>
      <c r="O338" s="518"/>
      <c r="P338" s="5"/>
      <c r="R338" s="5"/>
    </row>
    <row r="339" spans="1:42" s="3" customFormat="1" ht="16.5" thickBot="1" x14ac:dyDescent="0.3">
      <c r="A339" s="429" t="s">
        <v>304</v>
      </c>
      <c r="B339" s="430" t="s">
        <v>305</v>
      </c>
      <c r="C339" s="429" t="s">
        <v>306</v>
      </c>
      <c r="D339" s="431" t="s">
        <v>5</v>
      </c>
      <c r="E339" s="432"/>
      <c r="F339" s="431" t="s">
        <v>307</v>
      </c>
      <c r="G339" s="432"/>
      <c r="H339" s="431" t="s">
        <v>308</v>
      </c>
      <c r="I339" s="433"/>
      <c r="J339" s="431" t="s">
        <v>309</v>
      </c>
      <c r="K339" s="434"/>
      <c r="L339" s="435" t="s">
        <v>310</v>
      </c>
      <c r="M339" s="433"/>
      <c r="N339" s="519" t="s">
        <v>311</v>
      </c>
      <c r="O339" s="520"/>
      <c r="P339" s="521" t="s">
        <v>352</v>
      </c>
      <c r="Q339" s="522"/>
      <c r="R339" s="521" t="s">
        <v>353</v>
      </c>
      <c r="S339" s="522"/>
    </row>
    <row r="340" spans="1:42" s="3" customFormat="1" ht="15.75" x14ac:dyDescent="0.25">
      <c r="A340" s="523"/>
      <c r="B340" s="524" t="s">
        <v>354</v>
      </c>
      <c r="C340" s="525"/>
      <c r="D340" s="439" t="s">
        <v>313</v>
      </c>
      <c r="E340" s="440" t="s">
        <v>314</v>
      </c>
      <c r="F340" s="441" t="s">
        <v>313</v>
      </c>
      <c r="G340" s="442" t="s">
        <v>314</v>
      </c>
      <c r="H340" s="443" t="s">
        <v>313</v>
      </c>
      <c r="I340" s="442" t="s">
        <v>314</v>
      </c>
      <c r="J340" s="443" t="s">
        <v>313</v>
      </c>
      <c r="K340" s="442" t="s">
        <v>314</v>
      </c>
      <c r="L340" s="443" t="s">
        <v>313</v>
      </c>
      <c r="M340" s="442" t="s">
        <v>314</v>
      </c>
      <c r="N340" s="442" t="s">
        <v>313</v>
      </c>
      <c r="O340" s="442" t="s">
        <v>314</v>
      </c>
      <c r="P340" s="443" t="s">
        <v>313</v>
      </c>
      <c r="Q340" s="442" t="s">
        <v>355</v>
      </c>
      <c r="R340" s="443" t="s">
        <v>313</v>
      </c>
      <c r="S340" s="442" t="s">
        <v>355</v>
      </c>
    </row>
    <row r="341" spans="1:42" s="466" customFormat="1" ht="15.6" customHeight="1" x14ac:dyDescent="0.25">
      <c r="A341" s="526" t="s">
        <v>3</v>
      </c>
      <c r="B341" s="481" t="s">
        <v>356</v>
      </c>
      <c r="C341" s="527" t="s">
        <v>357</v>
      </c>
      <c r="D341" s="449" t="s">
        <v>3</v>
      </c>
      <c r="E341" s="528"/>
      <c r="F341" s="449"/>
      <c r="G341" s="464"/>
      <c r="H341" s="450"/>
      <c r="I341" s="464"/>
      <c r="J341" s="450"/>
      <c r="K341" s="464"/>
      <c r="L341" s="465"/>
      <c r="M341" s="464"/>
      <c r="N341" s="452"/>
      <c r="O341" s="464"/>
      <c r="P341" s="458"/>
      <c r="Q341" s="404"/>
      <c r="R341" s="458"/>
      <c r="S341" s="404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</row>
    <row r="342" spans="1:42" s="466" customFormat="1" ht="15.6" customHeight="1" x14ac:dyDescent="0.25">
      <c r="A342" s="526" t="s">
        <v>3</v>
      </c>
      <c r="B342" s="481" t="s">
        <v>358</v>
      </c>
      <c r="C342" s="527" t="s">
        <v>357</v>
      </c>
      <c r="D342" s="449" t="s">
        <v>3</v>
      </c>
      <c r="E342" s="528"/>
      <c r="F342" s="449"/>
      <c r="G342" s="464"/>
      <c r="H342" s="450"/>
      <c r="I342" s="464"/>
      <c r="J342" s="450"/>
      <c r="K342" s="464"/>
      <c r="L342" s="465"/>
      <c r="M342" s="464"/>
      <c r="N342" s="452"/>
      <c r="O342" s="464"/>
      <c r="P342" s="458"/>
      <c r="Q342" s="404"/>
      <c r="R342" s="458"/>
      <c r="S342" s="404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</row>
    <row r="343" spans="1:42" s="3" customFormat="1" ht="15.6" customHeight="1" x14ac:dyDescent="0.25">
      <c r="A343" s="529"/>
      <c r="B343" s="530"/>
      <c r="C343" s="328"/>
      <c r="D343" s="460"/>
      <c r="E343" s="531"/>
      <c r="F343" s="460"/>
      <c r="G343" s="404"/>
      <c r="H343" s="458"/>
      <c r="I343" s="404"/>
      <c r="J343" s="458"/>
      <c r="K343" s="404"/>
      <c r="L343" s="458"/>
      <c r="M343" s="404"/>
      <c r="N343" s="403"/>
      <c r="O343" s="404"/>
      <c r="P343" s="458"/>
      <c r="Q343" s="404"/>
      <c r="R343" s="458"/>
      <c r="S343" s="404"/>
    </row>
    <row r="344" spans="1:42" s="466" customFormat="1" ht="15.6" customHeight="1" x14ac:dyDescent="0.25">
      <c r="A344" s="532" t="s">
        <v>3</v>
      </c>
      <c r="B344" s="481" t="s">
        <v>359</v>
      </c>
      <c r="C344" s="527"/>
      <c r="D344" s="449">
        <f>VLOOKUP(30088,[1]!qryExcelSlab[#Data],5,FALSE)</f>
        <v>0</v>
      </c>
      <c r="E344" s="528">
        <f>IF(D344=0,0,VLOOKUP(30088,[1]!qryExcelSlab[#Data],4,FALSE))</f>
        <v>0</v>
      </c>
      <c r="F344" s="449"/>
      <c r="G344" s="464"/>
      <c r="H344" s="450"/>
      <c r="I344" s="464"/>
      <c r="J344" s="450"/>
      <c r="K344" s="464"/>
      <c r="L344" s="465"/>
      <c r="M344" s="464"/>
      <c r="N344" s="452"/>
      <c r="O344" s="464"/>
      <c r="P344" s="458"/>
      <c r="Q344" s="404"/>
      <c r="R344" s="458"/>
      <c r="S344" s="404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</row>
    <row r="345" spans="1:42" s="3" customFormat="1" ht="15.6" customHeight="1" x14ac:dyDescent="0.25">
      <c r="A345" s="529"/>
      <c r="B345" s="530"/>
      <c r="C345" s="328"/>
      <c r="D345" s="460"/>
      <c r="E345" s="531"/>
      <c r="F345" s="460"/>
      <c r="G345" s="404"/>
      <c r="H345" s="458"/>
      <c r="I345" s="404"/>
      <c r="J345" s="458"/>
      <c r="K345" s="404"/>
      <c r="L345" s="458"/>
      <c r="M345" s="404"/>
      <c r="N345" s="403"/>
      <c r="O345" s="404"/>
      <c r="P345" s="458"/>
      <c r="Q345" s="404"/>
      <c r="R345" s="458"/>
      <c r="S345" s="404"/>
    </row>
    <row r="346" spans="1:42" s="466" customFormat="1" ht="15.6" customHeight="1" x14ac:dyDescent="0.25">
      <c r="A346" s="98" t="s">
        <v>360</v>
      </c>
      <c r="B346" s="481" t="s">
        <v>361</v>
      </c>
      <c r="C346" s="527"/>
      <c r="D346" s="449">
        <f>VLOOKUP(30278,[1]!qryExcelSlab[#Data],5,FALSE)</f>
        <v>45</v>
      </c>
      <c r="E346" s="528">
        <f>IF(D346=0,0,VLOOKUP(30278,[1]!qryExcelSlab[#Data],4,FALSE))</f>
        <v>29</v>
      </c>
      <c r="F346" s="449"/>
      <c r="G346" s="464"/>
      <c r="H346" s="450"/>
      <c r="I346" s="464"/>
      <c r="J346" s="450"/>
      <c r="K346" s="464"/>
      <c r="L346" s="465"/>
      <c r="M346" s="464"/>
      <c r="N346" s="452"/>
      <c r="O346" s="464"/>
      <c r="P346" s="458"/>
      <c r="Q346" s="404"/>
      <c r="R346" s="458"/>
      <c r="S346" s="404"/>
      <c r="T346" s="3"/>
      <c r="U346" s="3" t="s">
        <v>3</v>
      </c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</row>
    <row r="347" spans="1:42" s="3" customFormat="1" ht="15.6" customHeight="1" x14ac:dyDescent="0.25">
      <c r="A347" s="533"/>
      <c r="B347" s="530"/>
      <c r="C347" s="328"/>
      <c r="D347" s="334"/>
      <c r="E347" s="531"/>
      <c r="F347" s="334"/>
      <c r="G347" s="404"/>
      <c r="H347" s="457"/>
      <c r="I347" s="404"/>
      <c r="J347" s="457"/>
      <c r="K347" s="404"/>
      <c r="L347" s="458"/>
      <c r="M347" s="404"/>
      <c r="N347" s="403"/>
      <c r="O347" s="404"/>
      <c r="P347" s="458"/>
      <c r="Q347" s="404"/>
      <c r="R347" s="458"/>
      <c r="S347" s="404"/>
    </row>
    <row r="348" spans="1:42" s="466" customFormat="1" ht="15.6" customHeight="1" x14ac:dyDescent="0.25">
      <c r="A348" s="98" t="s">
        <v>147</v>
      </c>
      <c r="B348" s="481" t="s">
        <v>362</v>
      </c>
      <c r="C348" s="527" t="s">
        <v>363</v>
      </c>
      <c r="D348" s="449"/>
      <c r="E348" s="528"/>
      <c r="F348" s="449"/>
      <c r="G348" s="464"/>
      <c r="H348" s="450">
        <f>VLOOKUP(30653,[1]!qryExcelSlab[#Data],5,FALSE)</f>
        <v>0</v>
      </c>
      <c r="I348" s="534">
        <f>IF(H348=0,0,VLOOKUP(30653,[1]!qryExcelSlab[#Data],4,FALSE))</f>
        <v>0</v>
      </c>
      <c r="J348" s="450">
        <f>VLOOKUP(30652,[1]!qryExcelSlab[#Data],5,FALSE)</f>
        <v>4</v>
      </c>
      <c r="K348" s="464">
        <f>IF(J348=0,0,VLOOKUP(30652,[1]!qryExcelSlab[#Data],4,FALSE))</f>
        <v>65</v>
      </c>
      <c r="L348" s="465"/>
      <c r="M348" s="464"/>
      <c r="N348" s="452"/>
      <c r="O348" s="464"/>
      <c r="P348" s="458"/>
      <c r="Q348" s="404"/>
      <c r="R348" s="458"/>
      <c r="S348" s="404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</row>
    <row r="349" spans="1:42" s="3" customFormat="1" ht="15.6" customHeight="1" x14ac:dyDescent="0.25">
      <c r="A349" s="184"/>
      <c r="B349" s="530"/>
      <c r="C349" s="328"/>
      <c r="D349" s="334"/>
      <c r="E349" s="531"/>
      <c r="F349" s="334"/>
      <c r="G349" s="404"/>
      <c r="H349" s="457"/>
      <c r="I349" s="535"/>
      <c r="J349" s="457"/>
      <c r="K349" s="404"/>
      <c r="L349" s="458"/>
      <c r="M349" s="404"/>
      <c r="N349" s="403"/>
      <c r="O349" s="404"/>
      <c r="P349" s="458"/>
      <c r="Q349" s="404"/>
      <c r="R349" s="458"/>
      <c r="S349" s="404"/>
    </row>
    <row r="350" spans="1:42" s="466" customFormat="1" ht="15.6" customHeight="1" x14ac:dyDescent="0.25">
      <c r="A350" s="98" t="s">
        <v>147</v>
      </c>
      <c r="B350" s="536" t="s">
        <v>364</v>
      </c>
      <c r="C350" s="527" t="s">
        <v>365</v>
      </c>
      <c r="D350" s="449"/>
      <c r="E350" s="528"/>
      <c r="F350" s="449">
        <f>VLOOKUP(30580,[1]!qryExcelSlab[#Data],5,FALSE)</f>
        <v>24</v>
      </c>
      <c r="G350" s="464">
        <f>IF(F350=0,0,IF(F350=0,0,VLOOKUP(30580,[1]!qryExcelSlab[#Data],4,FALSE)))</f>
        <v>45</v>
      </c>
      <c r="H350" s="450">
        <f>VLOOKUP(30581,[1]!qryExcelSlab[#Data],5,FALSE)</f>
        <v>16</v>
      </c>
      <c r="I350" s="534">
        <f>IF(H350=0,0,VLOOKUP(30581,[1]!qryExcelSlab[#Data],4,FALSE))</f>
        <v>55</v>
      </c>
      <c r="J350" s="450">
        <f>VLOOKUP(30599,[1]!qryExcelSlab[#Data],5,FALSE)</f>
        <v>0</v>
      </c>
      <c r="K350" s="464">
        <f>IF(J350=0,0,VLOOKUP(30599,[1]!qryExcelSlab[#Data],4,FALSE))</f>
        <v>0</v>
      </c>
      <c r="L350" s="465"/>
      <c r="M350" s="464"/>
      <c r="N350" s="452"/>
      <c r="O350" s="464"/>
      <c r="P350" s="458"/>
      <c r="Q350" s="404"/>
      <c r="R350" s="458"/>
      <c r="S350" s="404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</row>
    <row r="351" spans="1:42" s="173" customFormat="1" ht="15.6" customHeight="1" x14ac:dyDescent="0.25">
      <c r="A351" s="537"/>
      <c r="B351" s="538"/>
      <c r="C351" s="539"/>
      <c r="D351" s="540"/>
      <c r="E351" s="541"/>
      <c r="F351" s="540"/>
      <c r="G351" s="542"/>
      <c r="H351" s="543"/>
      <c r="I351" s="544"/>
      <c r="J351" s="543"/>
      <c r="K351" s="542"/>
      <c r="L351" s="545"/>
      <c r="M351" s="542"/>
      <c r="N351" s="546"/>
      <c r="O351" s="542"/>
      <c r="P351" s="545"/>
      <c r="Q351" s="542"/>
      <c r="R351" s="545"/>
      <c r="S351" s="542"/>
    </row>
    <row r="352" spans="1:42" s="466" customFormat="1" ht="15.6" customHeight="1" x14ac:dyDescent="0.25">
      <c r="A352" s="547" t="s">
        <v>133</v>
      </c>
      <c r="B352" s="536" t="s">
        <v>366</v>
      </c>
      <c r="C352" s="527" t="s">
        <v>367</v>
      </c>
      <c r="D352" s="449">
        <f>VLOOKUP(30842,[1]!qryExcelSlab[#Data],5,FALSE)</f>
        <v>12</v>
      </c>
      <c r="E352" s="528">
        <f>VLOOKUP(30842,[1]!qryExcelSlab[#Data],4,FALSE)</f>
        <v>0</v>
      </c>
      <c r="F352" s="449"/>
      <c r="G352" s="464"/>
      <c r="H352" s="450"/>
      <c r="I352" s="534"/>
      <c r="J352" s="450"/>
      <c r="K352" s="464"/>
      <c r="L352" s="465"/>
      <c r="M352" s="464"/>
      <c r="N352" s="452"/>
      <c r="O352" s="464"/>
      <c r="P352" s="458"/>
      <c r="Q352" s="404"/>
      <c r="R352" s="458"/>
      <c r="S352" s="404"/>
      <c r="T352" s="548" t="s">
        <v>368</v>
      </c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</row>
    <row r="353" spans="1:42" s="3" customFormat="1" ht="15.6" customHeight="1" x14ac:dyDescent="0.25">
      <c r="A353" s="533"/>
      <c r="B353" s="530"/>
      <c r="C353" s="328"/>
      <c r="D353" s="334"/>
      <c r="E353" s="531"/>
      <c r="F353" s="334"/>
      <c r="G353" s="404"/>
      <c r="H353" s="457"/>
      <c r="I353" s="404"/>
      <c r="J353" s="457"/>
      <c r="K353" s="404"/>
      <c r="L353" s="458"/>
      <c r="M353" s="404"/>
      <c r="N353" s="403"/>
      <c r="O353" s="404"/>
      <c r="P353" s="458"/>
      <c r="Q353" s="404"/>
      <c r="R353" s="458"/>
      <c r="S353" s="404"/>
    </row>
    <row r="354" spans="1:42" s="466" customFormat="1" ht="15.6" customHeight="1" x14ac:dyDescent="0.25">
      <c r="A354" s="98" t="s">
        <v>369</v>
      </c>
      <c r="B354" s="481" t="s">
        <v>370</v>
      </c>
      <c r="C354" s="527"/>
      <c r="D354" s="449">
        <f>VLOOKUP(30654,[1]!qryExcelSlab[#Data],5,FALSE)</f>
        <v>87</v>
      </c>
      <c r="E354" s="528">
        <f>IF(D354=0,0,VLOOKUP(30654,[1]!qryExcelSlab[#Data],4,FALSE))</f>
        <v>25</v>
      </c>
      <c r="F354" s="449"/>
      <c r="G354" s="464"/>
      <c r="H354" s="450"/>
      <c r="I354" s="464"/>
      <c r="J354" s="450"/>
      <c r="K354" s="464"/>
      <c r="L354" s="465"/>
      <c r="M354" s="464"/>
      <c r="N354" s="452"/>
      <c r="O354" s="464"/>
      <c r="P354" s="458"/>
      <c r="Q354" s="404"/>
      <c r="R354" s="458"/>
      <c r="S354" s="404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</row>
    <row r="355" spans="1:42" s="3" customFormat="1" ht="15.75" x14ac:dyDescent="0.25">
      <c r="A355" s="9"/>
      <c r="B355" s="530"/>
      <c r="C355" s="530"/>
      <c r="D355" s="403"/>
      <c r="E355" s="531"/>
      <c r="F355" s="403"/>
      <c r="G355" s="404"/>
      <c r="H355" s="458"/>
      <c r="I355" s="404"/>
      <c r="J355" s="458"/>
      <c r="K355" s="404"/>
      <c r="L355" s="458"/>
      <c r="M355" s="404"/>
      <c r="N355" s="403"/>
      <c r="O355" s="404"/>
      <c r="P355" s="458"/>
      <c r="Q355" s="404"/>
      <c r="R355" s="458"/>
      <c r="S355" s="404"/>
    </row>
    <row r="356" spans="1:42" s="466" customFormat="1" ht="15.6" customHeight="1" x14ac:dyDescent="0.25">
      <c r="A356" s="98" t="s">
        <v>371</v>
      </c>
      <c r="B356" s="481" t="s">
        <v>372</v>
      </c>
      <c r="C356" s="527" t="s">
        <v>373</v>
      </c>
      <c r="D356" s="449"/>
      <c r="E356" s="528"/>
      <c r="F356" s="449">
        <f>VLOOKUP(30591,[1]!qryExcelSlab[#Data],5,FALSE)</f>
        <v>70</v>
      </c>
      <c r="G356" s="464">
        <f>IF(F356=0,0,VLOOKUP(30591,[1]!qryExcelSlab[#Data],4,FALSE))</f>
        <v>89</v>
      </c>
      <c r="H356" s="450"/>
      <c r="I356" s="464"/>
      <c r="J356" s="450"/>
      <c r="K356" s="464"/>
      <c r="L356" s="465"/>
      <c r="M356" s="464"/>
      <c r="N356" s="452"/>
      <c r="O356" s="464"/>
      <c r="P356" s="458"/>
      <c r="Q356" s="404"/>
      <c r="R356" s="458"/>
      <c r="S356" s="404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</row>
    <row r="357" spans="1:42" s="3" customFormat="1" ht="15.6" customHeight="1" x14ac:dyDescent="0.25">
      <c r="A357" s="549"/>
      <c r="B357" s="530"/>
      <c r="C357" s="328"/>
      <c r="D357" s="334"/>
      <c r="E357" s="531"/>
      <c r="F357" s="334"/>
      <c r="G357" s="404"/>
      <c r="H357" s="457"/>
      <c r="I357" s="404"/>
      <c r="J357" s="457"/>
      <c r="K357" s="404"/>
      <c r="L357" s="458"/>
      <c r="M357" s="404"/>
      <c r="N357" s="403"/>
      <c r="O357" s="404"/>
      <c r="P357" s="458"/>
      <c r="Q357" s="404"/>
      <c r="R357" s="458"/>
      <c r="S357" s="404"/>
    </row>
    <row r="358" spans="1:42" s="466" customFormat="1" ht="15.6" customHeight="1" x14ac:dyDescent="0.25">
      <c r="A358" s="98" t="s">
        <v>374</v>
      </c>
      <c r="B358" s="481" t="s">
        <v>375</v>
      </c>
      <c r="C358" s="527" t="s">
        <v>376</v>
      </c>
      <c r="D358" s="449">
        <f>VLOOKUP(30583,[1]!qryExcelSlab[#Data],5,FALSE)</f>
        <v>15</v>
      </c>
      <c r="E358" s="528">
        <f>IF(D358=0,0,VLOOKUP(30583,[1]!qryExcelSlab[#Data],4,FALSE))</f>
        <v>59</v>
      </c>
      <c r="F358" s="449"/>
      <c r="G358" s="464"/>
      <c r="H358" s="450"/>
      <c r="I358" s="464"/>
      <c r="J358" s="450"/>
      <c r="K358" s="464"/>
      <c r="L358" s="465"/>
      <c r="M358" s="464"/>
      <c r="N358" s="452"/>
      <c r="O358" s="464"/>
      <c r="P358" s="458"/>
      <c r="Q358" s="404"/>
      <c r="R358" s="458"/>
      <c r="S358" s="404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</row>
    <row r="359" spans="1:42" s="3" customFormat="1" ht="15.6" customHeight="1" x14ac:dyDescent="0.25">
      <c r="A359" s="529"/>
      <c r="B359" s="530"/>
      <c r="C359" s="328"/>
      <c r="D359" s="460"/>
      <c r="E359" s="531"/>
      <c r="F359" s="460"/>
      <c r="G359" s="404"/>
      <c r="H359" s="458"/>
      <c r="I359" s="404"/>
      <c r="J359" s="458"/>
      <c r="K359" s="404"/>
      <c r="L359" s="458"/>
      <c r="M359" s="404"/>
      <c r="N359" s="403"/>
      <c r="O359" s="404"/>
      <c r="P359" s="458"/>
      <c r="Q359" s="404"/>
      <c r="R359" s="458"/>
      <c r="S359" s="404"/>
    </row>
    <row r="360" spans="1:42" s="466" customFormat="1" ht="15.6" customHeight="1" x14ac:dyDescent="0.25">
      <c r="A360" s="98" t="s">
        <v>377</v>
      </c>
      <c r="B360" s="481" t="s">
        <v>378</v>
      </c>
      <c r="C360" s="527"/>
      <c r="D360" s="449">
        <f>VLOOKUP(30089,[1]!qryExcelSlab[#Data],5,FALSE)</f>
        <v>1</v>
      </c>
      <c r="E360" s="528">
        <f>IF(D360=0,0,VLOOKUP(30089,[1]!qryExcelSlab[#Data],4,FALSE))</f>
        <v>89</v>
      </c>
      <c r="F360" s="449"/>
      <c r="G360" s="464"/>
      <c r="H360" s="450"/>
      <c r="I360" s="464"/>
      <c r="J360" s="450"/>
      <c r="K360" s="464"/>
      <c r="L360" s="465"/>
      <c r="M360" s="464"/>
      <c r="N360" s="452"/>
      <c r="O360" s="464"/>
      <c r="P360" s="458"/>
      <c r="Q360" s="404"/>
      <c r="R360" s="458"/>
      <c r="S360" s="404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</row>
    <row r="361" spans="1:42" s="3" customFormat="1" ht="15.6" customHeight="1" x14ac:dyDescent="0.25">
      <c r="A361" s="550"/>
      <c r="B361" s="530"/>
      <c r="C361" s="328"/>
      <c r="D361" s="334"/>
      <c r="E361" s="531"/>
      <c r="F361" s="334"/>
      <c r="G361" s="404"/>
      <c r="H361" s="457"/>
      <c r="I361" s="404"/>
      <c r="J361" s="457"/>
      <c r="K361" s="404"/>
      <c r="L361" s="458"/>
      <c r="M361" s="404"/>
      <c r="N361" s="403"/>
      <c r="O361" s="404"/>
      <c r="P361" s="458"/>
      <c r="Q361" s="404"/>
      <c r="R361" s="458"/>
      <c r="S361" s="404"/>
    </row>
    <row r="362" spans="1:42" s="466" customFormat="1" ht="15.6" customHeight="1" x14ac:dyDescent="0.25">
      <c r="A362" s="532" t="s">
        <v>3</v>
      </c>
      <c r="B362" s="481" t="s">
        <v>379</v>
      </c>
      <c r="C362" s="551"/>
      <c r="D362" s="449" t="s">
        <v>3</v>
      </c>
      <c r="E362" s="528"/>
      <c r="F362" s="449">
        <f>VLOOKUP(30061,[1]!qryExcelSlab[#Data],5,FALSE)</f>
        <v>0</v>
      </c>
      <c r="G362" s="464">
        <f>IF(F362=0,0,VLOOKUP(30061,[1]!qryExcelSlab[#Data],4,FALSE))</f>
        <v>0</v>
      </c>
      <c r="H362" s="450">
        <f>VLOOKUP(30022,[1]!qryExcelSlab[#Data],5,FALSE)</f>
        <v>0</v>
      </c>
      <c r="I362" s="464">
        <f>IF(H362=0,0,VLOOKUP(30022,[1]!qryExcelSlab[#Data],4,FALSE))</f>
        <v>0</v>
      </c>
      <c r="J362" s="450">
        <f>VLOOKUP(30108,[1]!qryExcelSlab[#Data],5,FALSE)</f>
        <v>0</v>
      </c>
      <c r="K362" s="464">
        <f>IF(J362=0,0,VLOOKUP(30108,[1]!qryExcelSlab[#Data],4,FALSE))</f>
        <v>0</v>
      </c>
      <c r="L362" s="450">
        <f>VLOOKUP(30635,[1]!qryExcelSlab[#Data],5,FALSE)</f>
        <v>0</v>
      </c>
      <c r="M362" s="448">
        <f>VLOOKUP(30635,[1]!qryExcelSlab[#Data],4,FALSE)</f>
        <v>0</v>
      </c>
      <c r="N362" s="452"/>
      <c r="O362" s="464"/>
      <c r="P362" s="450">
        <f>VLOOKUP(30578,[1]!qryExcelSlab[#Data],5,FALSE)</f>
        <v>0</v>
      </c>
      <c r="Q362" s="448">
        <f>IF(P362=0,0,VLOOKUP(30578,[1]!qryExcelSlab[#Data],4,FALSE))</f>
        <v>0</v>
      </c>
      <c r="R362" s="450">
        <f>VLOOKUP(30598,[1]!qryExcelSlab[#Data],5,FALSE)</f>
        <v>0</v>
      </c>
      <c r="S362" s="448">
        <f>IF(R362=0,0,VLOOKUP(30598,[1]!qryExcelSlab[#Data],4,FALSE))</f>
        <v>0</v>
      </c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</row>
    <row r="363" spans="1:42" s="3" customFormat="1" ht="15.6" customHeight="1" thickBot="1" x14ac:dyDescent="0.3">
      <c r="A363" s="552"/>
      <c r="B363" s="553"/>
      <c r="C363" s="377"/>
      <c r="D363" s="554"/>
      <c r="E363" s="555"/>
      <c r="F363" s="554"/>
      <c r="G363" s="473"/>
      <c r="H363" s="556"/>
      <c r="I363" s="473"/>
      <c r="J363" s="556"/>
      <c r="K363" s="473"/>
      <c r="L363" s="556"/>
      <c r="M363" s="473"/>
      <c r="N363" s="472"/>
      <c r="O363" s="473"/>
      <c r="P363" s="556"/>
      <c r="Q363" s="473"/>
      <c r="R363" s="556"/>
      <c r="S363" s="473"/>
    </row>
    <row r="364" spans="1:42" s="3" customFormat="1" ht="15.6" customHeight="1" x14ac:dyDescent="0.25">
      <c r="A364" s="557"/>
      <c r="B364" s="558" t="s">
        <v>380</v>
      </c>
      <c r="C364" s="559"/>
      <c r="D364" s="560"/>
      <c r="E364" s="561"/>
      <c r="F364" s="560"/>
      <c r="G364" s="562"/>
      <c r="H364" s="563"/>
      <c r="I364" s="562"/>
      <c r="J364" s="563"/>
      <c r="K364" s="562"/>
      <c r="L364" s="563"/>
      <c r="M364" s="562"/>
      <c r="N364" s="564"/>
      <c r="O364" s="562"/>
      <c r="P364" s="563"/>
      <c r="Q364" s="562"/>
      <c r="R364" s="563"/>
      <c r="S364" s="562"/>
      <c r="X364" s="3" t="s">
        <v>381</v>
      </c>
    </row>
    <row r="365" spans="1:42" s="466" customFormat="1" ht="15.6" customHeight="1" x14ac:dyDescent="0.25">
      <c r="A365" s="532" t="s">
        <v>382</v>
      </c>
      <c r="B365" s="481" t="s">
        <v>383</v>
      </c>
      <c r="C365" s="527" t="s">
        <v>384</v>
      </c>
      <c r="D365" s="449">
        <f>VLOOKUP(30150,[1]!qryExcelSlab[#Data],5,FALSE)</f>
        <v>53</v>
      </c>
      <c r="E365" s="528">
        <f>IF(D365=0,0,VLOOKUP(30150,[1]!qryExcelSlab[#Data],4,FALSE))</f>
        <v>69</v>
      </c>
      <c r="F365" s="449"/>
      <c r="G365" s="464"/>
      <c r="H365" s="450"/>
      <c r="I365" s="464"/>
      <c r="J365" s="450"/>
      <c r="K365" s="464"/>
      <c r="L365" s="465"/>
      <c r="M365" s="464"/>
      <c r="N365" s="452"/>
      <c r="O365" s="464"/>
      <c r="P365" s="458"/>
      <c r="Q365" s="404"/>
      <c r="R365" s="458"/>
      <c r="S365" s="404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</row>
    <row r="366" spans="1:42" s="3" customFormat="1" ht="15.6" customHeight="1" x14ac:dyDescent="0.25">
      <c r="A366" s="550"/>
      <c r="B366" s="530"/>
      <c r="C366" s="328"/>
      <c r="D366" s="334"/>
      <c r="E366" s="531"/>
      <c r="F366" s="334"/>
      <c r="G366" s="404"/>
      <c r="H366" s="457"/>
      <c r="I366" s="404"/>
      <c r="J366" s="457"/>
      <c r="K366" s="404"/>
      <c r="L366" s="458"/>
      <c r="M366" s="404"/>
      <c r="N366" s="403"/>
      <c r="O366" s="404"/>
      <c r="P366" s="458"/>
      <c r="Q366" s="404"/>
      <c r="R366" s="458"/>
      <c r="S366" s="404"/>
    </row>
    <row r="367" spans="1:42" s="466" customFormat="1" ht="15.6" customHeight="1" x14ac:dyDescent="0.25">
      <c r="A367" s="98" t="s">
        <v>385</v>
      </c>
      <c r="B367" s="481" t="s">
        <v>386</v>
      </c>
      <c r="C367" s="527" t="s">
        <v>384</v>
      </c>
      <c r="D367" s="449">
        <f>VLOOKUP(30661,[1]!qryExcelSlab[#Data],5,FALSE)</f>
        <v>13</v>
      </c>
      <c r="E367" s="528">
        <f>IF(D367=0,0,VLOOKUP(30661,[1]!qryExcelSlab[#Data],4,FALSE))</f>
        <v>69</v>
      </c>
      <c r="F367" s="449"/>
      <c r="G367" s="464"/>
      <c r="H367" s="450"/>
      <c r="I367" s="464"/>
      <c r="J367" s="450"/>
      <c r="K367" s="464"/>
      <c r="L367" s="465"/>
      <c r="M367" s="464"/>
      <c r="N367" s="452"/>
      <c r="O367" s="464"/>
      <c r="P367" s="458"/>
      <c r="Q367" s="404"/>
      <c r="R367" s="458"/>
      <c r="S367" s="404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</row>
    <row r="368" spans="1:42" s="3" customFormat="1" ht="15.6" customHeight="1" x14ac:dyDescent="0.25">
      <c r="A368" s="550"/>
      <c r="B368" s="530"/>
      <c r="C368" s="328"/>
      <c r="D368" s="334"/>
      <c r="E368" s="531"/>
      <c r="F368" s="334"/>
      <c r="G368" s="404"/>
      <c r="H368" s="457"/>
      <c r="I368" s="404"/>
      <c r="J368" s="457"/>
      <c r="K368" s="404"/>
      <c r="L368" s="458"/>
      <c r="M368" s="404"/>
      <c r="N368" s="403"/>
      <c r="O368" s="404"/>
      <c r="P368" s="458"/>
      <c r="Q368" s="404"/>
      <c r="R368" s="458"/>
      <c r="S368" s="404"/>
    </row>
    <row r="369" spans="1:42" s="466" customFormat="1" ht="15.6" customHeight="1" x14ac:dyDescent="0.25">
      <c r="A369" s="98" t="s">
        <v>387</v>
      </c>
      <c r="B369" s="481" t="s">
        <v>388</v>
      </c>
      <c r="C369" s="527" t="s">
        <v>384</v>
      </c>
      <c r="D369" s="449">
        <f>VLOOKUP(30349,[1]!qryExcelSlab[#Data],5,FALSE)</f>
        <v>0</v>
      </c>
      <c r="E369" s="528">
        <f>IF(D369=0,0,VLOOKUP(30349,[1]!qryExcelSlab[#Data],4,FALSE))</f>
        <v>0</v>
      </c>
      <c r="F369" s="449"/>
      <c r="G369" s="464"/>
      <c r="H369" s="450"/>
      <c r="I369" s="464"/>
      <c r="J369" s="450"/>
      <c r="K369" s="464"/>
      <c r="L369" s="465"/>
      <c r="M369" s="464"/>
      <c r="N369" s="452"/>
      <c r="O369" s="464"/>
      <c r="P369" s="458"/>
      <c r="Q369" s="404"/>
      <c r="R369" s="458"/>
      <c r="S369" s="404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</row>
    <row r="370" spans="1:42" s="3" customFormat="1" ht="15.6" customHeight="1" x14ac:dyDescent="0.25">
      <c r="A370" s="550"/>
      <c r="B370" s="530"/>
      <c r="C370" s="328"/>
      <c r="D370" s="334"/>
      <c r="E370" s="531"/>
      <c r="F370" s="334"/>
      <c r="G370" s="404"/>
      <c r="H370" s="457"/>
      <c r="I370" s="404"/>
      <c r="J370" s="457"/>
      <c r="K370" s="404"/>
      <c r="L370" s="458"/>
      <c r="M370" s="404"/>
      <c r="N370" s="403"/>
      <c r="O370" s="404"/>
      <c r="P370" s="458"/>
      <c r="Q370" s="404"/>
      <c r="R370" s="458"/>
      <c r="S370" s="404"/>
    </row>
    <row r="371" spans="1:42" s="466" customFormat="1" ht="15.6" customHeight="1" x14ac:dyDescent="0.25">
      <c r="A371" s="532" t="s">
        <v>389</v>
      </c>
      <c r="B371" s="481" t="s">
        <v>390</v>
      </c>
      <c r="C371" s="527"/>
      <c r="D371" s="449">
        <f>VLOOKUP(23553,[1]!qryExcelSlab[#Data],5,FALSE)</f>
        <v>0</v>
      </c>
      <c r="E371" s="528">
        <f>IF(D371=0,0,VLOOKUP(23553,[1]!qryExcelSlab[#Data],4,FALSE))</f>
        <v>0</v>
      </c>
      <c r="F371" s="449"/>
      <c r="G371" s="464"/>
      <c r="H371" s="450"/>
      <c r="I371" s="464"/>
      <c r="J371" s="450"/>
      <c r="K371" s="464"/>
      <c r="L371" s="465"/>
      <c r="M371" s="464"/>
      <c r="N371" s="452"/>
      <c r="O371" s="464"/>
      <c r="P371" s="458"/>
      <c r="Q371" s="404"/>
      <c r="R371" s="458"/>
      <c r="S371" s="404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</row>
    <row r="372" spans="1:42" s="3" customFormat="1" ht="15.6" customHeight="1" x14ac:dyDescent="0.25">
      <c r="A372" s="529"/>
      <c r="B372" s="530"/>
      <c r="C372" s="328"/>
      <c r="D372" s="460"/>
      <c r="E372" s="531"/>
      <c r="F372" s="460"/>
      <c r="G372" s="404"/>
      <c r="H372" s="458"/>
      <c r="I372" s="404"/>
      <c r="J372" s="458"/>
      <c r="K372" s="404"/>
      <c r="L372" s="458"/>
      <c r="M372" s="404"/>
      <c r="N372" s="403"/>
      <c r="O372" s="404"/>
      <c r="P372" s="458"/>
      <c r="Q372" s="404"/>
      <c r="R372" s="458"/>
      <c r="S372" s="404"/>
    </row>
    <row r="373" spans="1:42" s="466" customFormat="1" ht="15.6" customHeight="1" x14ac:dyDescent="0.25">
      <c r="A373" s="565" t="s">
        <v>391</v>
      </c>
      <c r="B373" s="481" t="s">
        <v>392</v>
      </c>
      <c r="C373" s="527" t="s">
        <v>393</v>
      </c>
      <c r="D373" s="449" t="s">
        <v>3</v>
      </c>
      <c r="E373" s="528"/>
      <c r="F373" s="449">
        <f>VLOOKUP(30600,[1]!qryExcelSlab[#Data],5,FALSE)</f>
        <v>0</v>
      </c>
      <c r="G373" s="528">
        <f>IF(F373=0,0,VLOOKUP(30600,[1]!qryExcelSlab[#Data],4,FALSE))</f>
        <v>0</v>
      </c>
      <c r="H373" s="450">
        <f>VLOOKUP(30601,[1]!qryExcelSlab[#Data],5,FALSE)</f>
        <v>0</v>
      </c>
      <c r="I373" s="464">
        <f>IF(H373=0,0,VLOOKUP(30601,[1]!qryExcelSlab[#Data],4,FALSE))</f>
        <v>0</v>
      </c>
      <c r="J373" s="450">
        <f>VLOOKUP(30602,[1]!qryExcelSlab[#Data],5,FALSE)</f>
        <v>2</v>
      </c>
      <c r="K373" s="464">
        <f>IF(J373=0,0,VLOOKUP(30602,[1]!qryExcelSlab[#Data],4,FALSE))</f>
        <v>52</v>
      </c>
      <c r="L373" s="469">
        <f>VLOOKUP(30603,[1]!qryExcelSlab[#Data],5,FALSE)</f>
        <v>8</v>
      </c>
      <c r="M373" s="464">
        <f>IF(L373=0,0,VLOOKUP(30603,[1]!qryExcelSlab[#Data],4,FALSE))</f>
        <v>69</v>
      </c>
      <c r="N373" s="447"/>
      <c r="O373" s="464"/>
      <c r="P373" s="458"/>
      <c r="Q373" s="404" t="s">
        <v>3</v>
      </c>
      <c r="R373" s="458"/>
      <c r="S373" s="404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</row>
    <row r="374" spans="1:42" s="3" customFormat="1" ht="15.6" customHeight="1" x14ac:dyDescent="0.25">
      <c r="A374" s="529"/>
      <c r="B374" s="530"/>
      <c r="C374" s="328"/>
      <c r="D374" s="460"/>
      <c r="E374" s="531"/>
      <c r="F374" s="460"/>
      <c r="G374" s="404"/>
      <c r="H374" s="458"/>
      <c r="I374" s="404"/>
      <c r="J374" s="458"/>
      <c r="K374" s="404"/>
      <c r="L374" s="458"/>
      <c r="M374" s="404"/>
      <c r="N374" s="403"/>
      <c r="O374" s="404"/>
      <c r="P374" s="458"/>
      <c r="Q374" s="404"/>
      <c r="R374" s="458"/>
      <c r="S374" s="404"/>
    </row>
    <row r="375" spans="1:42" s="466" customFormat="1" ht="15.6" customHeight="1" x14ac:dyDescent="0.25">
      <c r="A375" s="532" t="s">
        <v>394</v>
      </c>
      <c r="B375" s="481" t="s">
        <v>395</v>
      </c>
      <c r="C375" s="527" t="s">
        <v>396</v>
      </c>
      <c r="D375" s="449" t="s">
        <v>3</v>
      </c>
      <c r="E375" s="528"/>
      <c r="F375" s="449">
        <f>VLOOKUP(23876,[1]!qryExcelSlab[#Data],5,FALSE)</f>
        <v>0</v>
      </c>
      <c r="G375" s="528">
        <f>IF(F375=0,0,VLOOKUP(23876,[1]!qryExcelSlab[#Data],4,FALSE))</f>
        <v>0</v>
      </c>
      <c r="H375" s="450">
        <f>VLOOKUP(23861,[1]!qryExcelSlab[#Data],5,FALSE)</f>
        <v>22</v>
      </c>
      <c r="I375" s="464">
        <f>IF(H375=0,0,VLOOKUP(23861,[1]!qryExcelSlab[#Data],4,FALSE))</f>
        <v>42</v>
      </c>
      <c r="J375" s="450">
        <f>VLOOKUP(23862,[1]!qryExcelSlab[#Data],5,FALSE)</f>
        <v>35</v>
      </c>
      <c r="K375" s="464">
        <f>IF(J375=0,0,VLOOKUP(23862,[1]!qryExcelSlab[#Data],4,FALSE))</f>
        <v>52</v>
      </c>
      <c r="L375" s="469">
        <f>VLOOKUP(23863,[1]!qryExcelSlab[#Data],5,FALSE)</f>
        <v>0</v>
      </c>
      <c r="M375" s="464">
        <f>IF(L375=0,0,VLOOKUP(23863,[1]!qryExcelSlab[#Data],4,FALSE))</f>
        <v>0</v>
      </c>
      <c r="N375" s="447">
        <f>VLOOKUP(30360,[1]!qryExcelSlab[#Data],5,FALSE)</f>
        <v>21</v>
      </c>
      <c r="O375" s="464">
        <f>IF(N375=0,0,VLOOKUP(30360,[1]!qryExcelSlab[#Data],4,FALSE))</f>
        <v>32</v>
      </c>
      <c r="P375" s="458"/>
      <c r="Q375" s="404" t="s">
        <v>3</v>
      </c>
      <c r="R375" s="458"/>
      <c r="S375" s="404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</row>
    <row r="376" spans="1:42" s="3" customFormat="1" ht="15.6" customHeight="1" x14ac:dyDescent="0.25">
      <c r="A376" s="529"/>
      <c r="B376" s="530"/>
      <c r="C376" s="328"/>
      <c r="D376" s="460"/>
      <c r="E376" s="531"/>
      <c r="F376" s="460"/>
      <c r="G376" s="404"/>
      <c r="H376" s="458"/>
      <c r="I376" s="404"/>
      <c r="J376" s="458"/>
      <c r="K376" s="404"/>
      <c r="L376" s="458"/>
      <c r="M376" s="404"/>
      <c r="N376" s="403"/>
      <c r="O376" s="404"/>
      <c r="P376" s="458"/>
      <c r="Q376" s="404"/>
      <c r="R376" s="458"/>
      <c r="S376" s="404"/>
    </row>
    <row r="377" spans="1:42" s="466" customFormat="1" ht="15.6" customHeight="1" x14ac:dyDescent="0.25">
      <c r="A377" s="532" t="s">
        <v>397</v>
      </c>
      <c r="B377" s="481" t="s">
        <v>398</v>
      </c>
      <c r="C377" s="527"/>
      <c r="D377" s="449">
        <f>VLOOKUP(30336,[1]!qryExcelSlab[#Data],5,FALSE)</f>
        <v>45</v>
      </c>
      <c r="E377" s="528">
        <f>IF(D377=0,0,VLOOKUP(30336,[1]!qryExcelSlab[#Data],4,FALSE))</f>
        <v>30</v>
      </c>
      <c r="F377" s="449"/>
      <c r="G377" s="464"/>
      <c r="H377" s="450"/>
      <c r="I377" s="464"/>
      <c r="J377" s="450"/>
      <c r="K377" s="464"/>
      <c r="L377" s="469"/>
      <c r="M377" s="464"/>
      <c r="N377" s="447"/>
      <c r="O377" s="464"/>
      <c r="P377" s="458"/>
      <c r="Q377" s="404"/>
      <c r="R377" s="458"/>
      <c r="S377" s="404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</row>
    <row r="378" spans="1:42" s="3" customFormat="1" ht="15.6" customHeight="1" x14ac:dyDescent="0.25">
      <c r="A378" s="529"/>
      <c r="B378" s="530"/>
      <c r="C378" s="328"/>
      <c r="D378" s="460"/>
      <c r="E378" s="531"/>
      <c r="F378" s="460"/>
      <c r="G378" s="404"/>
      <c r="H378" s="458"/>
      <c r="I378" s="404"/>
      <c r="J378" s="458"/>
      <c r="K378" s="404"/>
      <c r="L378" s="458"/>
      <c r="M378" s="404"/>
      <c r="N378" s="403"/>
      <c r="O378" s="404"/>
      <c r="P378" s="458"/>
      <c r="Q378" s="404"/>
      <c r="R378" s="458"/>
      <c r="S378" s="404"/>
    </row>
    <row r="379" spans="1:42" s="466" customFormat="1" ht="15.6" customHeight="1" x14ac:dyDescent="0.25">
      <c r="A379" s="532" t="s">
        <v>399</v>
      </c>
      <c r="B379" s="481" t="s">
        <v>400</v>
      </c>
      <c r="C379" s="527"/>
      <c r="D379" s="449">
        <f>VLOOKUP(30065,[1]!qryExcelSlab[#Data],5,FALSE)</f>
        <v>99</v>
      </c>
      <c r="E379" s="528">
        <f>IF(D379=0,0,VLOOKUP(30065,[1]!qryExcelSlab[#Data],4,FALSE))</f>
        <v>50</v>
      </c>
      <c r="F379" s="449"/>
      <c r="G379" s="464"/>
      <c r="H379" s="450"/>
      <c r="I379" s="464"/>
      <c r="J379" s="450"/>
      <c r="K379" s="464"/>
      <c r="L379" s="465"/>
      <c r="M379" s="464"/>
      <c r="N379" s="452"/>
      <c r="O379" s="464"/>
      <c r="P379" s="458"/>
      <c r="Q379" s="404"/>
      <c r="R379" s="458"/>
      <c r="S379" s="404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</row>
    <row r="380" spans="1:42" s="3" customFormat="1" ht="15.6" customHeight="1" x14ac:dyDescent="0.25">
      <c r="A380" s="529"/>
      <c r="B380" s="530"/>
      <c r="C380" s="328"/>
      <c r="D380" s="460"/>
      <c r="E380" s="531"/>
      <c r="F380" s="460"/>
      <c r="G380" s="404"/>
      <c r="H380" s="458"/>
      <c r="I380" s="404"/>
      <c r="J380" s="458"/>
      <c r="K380" s="404"/>
      <c r="L380" s="458"/>
      <c r="M380" s="404"/>
      <c r="N380" s="403"/>
      <c r="O380" s="404"/>
      <c r="P380" s="458"/>
      <c r="Q380" s="404"/>
      <c r="R380" s="458"/>
      <c r="S380" s="404"/>
    </row>
    <row r="381" spans="1:42" s="466" customFormat="1" ht="15.6" customHeight="1" x14ac:dyDescent="0.25">
      <c r="A381" s="526" t="s">
        <v>391</v>
      </c>
      <c r="B381" s="481" t="s">
        <v>401</v>
      </c>
      <c r="C381" s="527"/>
      <c r="D381" s="449">
        <f>VLOOKUP(30058,[1]!qryExcelSlab[#Data],5,FALSE)</f>
        <v>0</v>
      </c>
      <c r="E381" s="528">
        <f>IF(D381=0,0,VLOOKUP(30058,[1]!qryExcelSlab[#Data],4,FALSE))</f>
        <v>0</v>
      </c>
      <c r="F381" s="449"/>
      <c r="G381" s="464"/>
      <c r="H381" s="450"/>
      <c r="I381" s="464"/>
      <c r="J381" s="450"/>
      <c r="K381" s="464"/>
      <c r="L381" s="469"/>
      <c r="M381" s="464"/>
      <c r="N381" s="447"/>
      <c r="O381" s="464"/>
      <c r="P381" s="458"/>
      <c r="Q381" s="404"/>
      <c r="R381" s="458"/>
      <c r="S381" s="404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</row>
    <row r="382" spans="1:42" s="3" customFormat="1" ht="15.6" customHeight="1" x14ac:dyDescent="0.25">
      <c r="A382" s="529"/>
      <c r="B382" s="530"/>
      <c r="C382" s="328"/>
      <c r="D382" s="460"/>
      <c r="E382" s="531"/>
      <c r="F382" s="460"/>
      <c r="G382" s="404"/>
      <c r="H382" s="458"/>
      <c r="I382" s="404"/>
      <c r="J382" s="458"/>
      <c r="K382" s="404"/>
      <c r="L382" s="458"/>
      <c r="M382" s="404"/>
      <c r="N382" s="403"/>
      <c r="O382" s="404"/>
      <c r="P382" s="458"/>
      <c r="Q382" s="404"/>
      <c r="R382" s="458"/>
      <c r="S382" s="404"/>
    </row>
    <row r="383" spans="1:42" s="466" customFormat="1" ht="15.6" customHeight="1" x14ac:dyDescent="0.25">
      <c r="A383" s="532" t="s">
        <v>402</v>
      </c>
      <c r="B383" s="481" t="s">
        <v>403</v>
      </c>
      <c r="C383" s="527"/>
      <c r="D383" s="449">
        <f>VLOOKUP(30067,[1]!qryExcelSlab[#Data],5,FALSE)</f>
        <v>58</v>
      </c>
      <c r="E383" s="528">
        <f>IF(D383=0,0,VLOOKUP(30067,[1]!qryExcelSlab[#Data],4,FALSE))</f>
        <v>34</v>
      </c>
      <c r="F383" s="449"/>
      <c r="G383" s="464"/>
      <c r="H383" s="450"/>
      <c r="I383" s="464"/>
      <c r="J383" s="450"/>
      <c r="K383" s="464"/>
      <c r="L383" s="465"/>
      <c r="M383" s="464"/>
      <c r="N383" s="452"/>
      <c r="O383" s="464"/>
      <c r="P383" s="458"/>
      <c r="Q383" s="404"/>
      <c r="R383" s="458"/>
      <c r="S383" s="404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</row>
    <row r="384" spans="1:42" s="3" customFormat="1" ht="15.6" customHeight="1" x14ac:dyDescent="0.25">
      <c r="A384" s="550"/>
      <c r="B384" s="530"/>
      <c r="C384" s="328"/>
      <c r="D384" s="334"/>
      <c r="E384" s="531"/>
      <c r="F384" s="334"/>
      <c r="G384" s="404"/>
      <c r="H384" s="457"/>
      <c r="I384" s="404"/>
      <c r="J384" s="457"/>
      <c r="K384" s="404"/>
      <c r="L384" s="458"/>
      <c r="M384" s="404"/>
      <c r="N384" s="403"/>
      <c r="O384" s="404"/>
      <c r="P384" s="458"/>
      <c r="Q384" s="404"/>
      <c r="R384" s="458"/>
      <c r="S384" s="404"/>
    </row>
    <row r="385" spans="1:42" s="466" customFormat="1" ht="15.6" customHeight="1" x14ac:dyDescent="0.25">
      <c r="A385" s="532" t="s">
        <v>404</v>
      </c>
      <c r="B385" s="481" t="s">
        <v>405</v>
      </c>
      <c r="C385" s="527" t="s">
        <v>406</v>
      </c>
      <c r="D385" s="449">
        <f>VLOOKUP(30628,[1]!qryExcelSlab[#Data],5,FALSE)</f>
        <v>38</v>
      </c>
      <c r="E385" s="528">
        <f>IF(D385=0,0,VLOOKUP(30628,[1]!qryExcelSlab[#Data],4,FALSE))</f>
        <v>85</v>
      </c>
      <c r="F385" s="449"/>
      <c r="G385" s="464"/>
      <c r="H385" s="450"/>
      <c r="I385" s="464"/>
      <c r="J385" s="450"/>
      <c r="K385" s="464"/>
      <c r="L385" s="465"/>
      <c r="M385" s="464"/>
      <c r="N385" s="452"/>
      <c r="O385" s="464"/>
      <c r="P385" s="458"/>
      <c r="Q385" s="404"/>
      <c r="R385" s="458"/>
      <c r="S385" s="404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</row>
    <row r="386" spans="1:42" s="3" customFormat="1" ht="15.6" customHeight="1" x14ac:dyDescent="0.25">
      <c r="A386" s="529"/>
      <c r="B386" s="530"/>
      <c r="C386" s="328"/>
      <c r="D386" s="460"/>
      <c r="E386" s="531"/>
      <c r="F386" s="460"/>
      <c r="G386" s="404"/>
      <c r="H386" s="458"/>
      <c r="I386" s="404"/>
      <c r="J386" s="458"/>
      <c r="K386" s="404"/>
      <c r="L386" s="458"/>
      <c r="M386" s="404"/>
      <c r="N386" s="403"/>
      <c r="O386" s="404"/>
      <c r="P386" s="458"/>
      <c r="Q386" s="404"/>
      <c r="R386" s="458"/>
      <c r="S386" s="404"/>
    </row>
    <row r="387" spans="1:42" s="3" customFormat="1" ht="15.6" customHeight="1" x14ac:dyDescent="0.25">
      <c r="A387" s="529"/>
      <c r="B387" s="566" t="s">
        <v>407</v>
      </c>
      <c r="C387" s="328"/>
      <c r="D387" s="460"/>
      <c r="E387" s="531"/>
      <c r="F387" s="460"/>
      <c r="G387" s="404"/>
      <c r="H387" s="458"/>
      <c r="I387" s="404"/>
      <c r="J387" s="458"/>
      <c r="K387" s="404"/>
      <c r="L387" s="458"/>
      <c r="M387" s="404"/>
      <c r="N387" s="403"/>
      <c r="O387" s="404"/>
      <c r="P387" s="458"/>
      <c r="Q387" s="404"/>
      <c r="R387" s="458"/>
      <c r="S387" s="404"/>
    </row>
    <row r="388" spans="1:42" s="466" customFormat="1" ht="15.6" customHeight="1" x14ac:dyDescent="0.25">
      <c r="A388" s="532" t="s">
        <v>408</v>
      </c>
      <c r="B388" s="481" t="s">
        <v>409</v>
      </c>
      <c r="C388" s="527" t="s">
        <v>410</v>
      </c>
      <c r="D388" s="567" t="s">
        <v>3</v>
      </c>
      <c r="E388" s="528"/>
      <c r="F388" s="449">
        <f>VLOOKUP(23555,[1]!qryExcelSlab[#Data],5,FALSE)</f>
        <v>46</v>
      </c>
      <c r="G388" s="464">
        <f>IF(F388=0,0,VLOOKUP(23555,[1]!qryExcelSlab[#Data],4,FALSE))</f>
        <v>29</v>
      </c>
      <c r="H388" s="450">
        <f>VLOOKUP(16983,[1]!qryExcelSlab[#Data],5,FALSE)</f>
        <v>26</v>
      </c>
      <c r="I388" s="464">
        <f>IF(H388=0,0,VLOOKUP(16983,[1]!qryExcelSlab[#Data],4,FALSE))</f>
        <v>39</v>
      </c>
      <c r="J388" s="450">
        <f>VLOOKUP(16887,[1]!qryExcelSlab[#Data],5,FALSE)</f>
        <v>4</v>
      </c>
      <c r="K388" s="464">
        <f>IF(J388=0,0,VLOOKUP(16887,[1]!qryExcelSlab[#Data],4,FALSE))</f>
        <v>49</v>
      </c>
      <c r="L388" s="465"/>
      <c r="M388" s="464"/>
      <c r="N388" s="452"/>
      <c r="O388" s="464"/>
      <c r="P388" s="458"/>
      <c r="Q388" s="404"/>
      <c r="R388" s="458"/>
      <c r="S388" s="404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</row>
    <row r="389" spans="1:42" s="3" customFormat="1" ht="15.6" customHeight="1" x14ac:dyDescent="0.25">
      <c r="A389" s="550"/>
      <c r="B389" s="530"/>
      <c r="C389" s="328"/>
      <c r="D389" s="460"/>
      <c r="E389" s="531"/>
      <c r="F389" s="334"/>
      <c r="G389" s="404"/>
      <c r="H389" s="457"/>
      <c r="I389" s="404"/>
      <c r="J389" s="457"/>
      <c r="K389" s="404"/>
      <c r="L389" s="458"/>
      <c r="M389" s="404"/>
      <c r="N389" s="403"/>
      <c r="O389" s="404"/>
      <c r="P389" s="458"/>
      <c r="Q389" s="404"/>
      <c r="R389" s="458"/>
      <c r="S389" s="404"/>
    </row>
    <row r="390" spans="1:42" s="466" customFormat="1" ht="15.6" customHeight="1" x14ac:dyDescent="0.25">
      <c r="A390" s="568" t="s">
        <v>391</v>
      </c>
      <c r="B390" s="481" t="s">
        <v>411</v>
      </c>
      <c r="C390" s="527"/>
      <c r="D390" s="567"/>
      <c r="E390" s="528"/>
      <c r="F390" s="449">
        <f>VLOOKUP(19458,[1]!qryExcelSlab[#Data],5,FALSE)</f>
        <v>0</v>
      </c>
      <c r="G390" s="464">
        <f>IF(F390=0,0,VLOOKUP(19458,[1]!qryExcelSlab[#Data],4,FALSE))</f>
        <v>0</v>
      </c>
      <c r="H390" s="450">
        <f>VLOOKUP(16966,[1]!qryExcelSlab[#Data],5,FALSE)</f>
        <v>0</v>
      </c>
      <c r="I390" s="464">
        <f>IF(H390=0,0,VLOOKUP(16966,[1]!qryExcelSlab[#Data],4,FALSE))</f>
        <v>0</v>
      </c>
      <c r="J390" s="450">
        <f>VLOOKUP(16648,[1]!qryExcelSlab[#Data],5,FALSE)</f>
        <v>0</v>
      </c>
      <c r="K390" s="464">
        <f>IF(J390=0,0,VLOOKUP(16648,[1]!qryExcelSlab[#Data],4,FALSE))</f>
        <v>0</v>
      </c>
      <c r="L390" s="465"/>
      <c r="M390" s="464"/>
      <c r="N390" s="452"/>
      <c r="O390" s="464"/>
      <c r="P390" s="458"/>
      <c r="Q390" s="404"/>
      <c r="R390" s="458"/>
      <c r="S390" s="404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</row>
    <row r="391" spans="1:42" s="3" customFormat="1" ht="15.6" customHeight="1" x14ac:dyDescent="0.25">
      <c r="A391" s="569"/>
      <c r="B391" s="530"/>
      <c r="C391" s="328"/>
      <c r="D391" s="460"/>
      <c r="E391" s="531"/>
      <c r="F391" s="334"/>
      <c r="G391" s="404"/>
      <c r="H391" s="457"/>
      <c r="I391" s="404"/>
      <c r="J391" s="457"/>
      <c r="K391" s="404"/>
      <c r="L391" s="458"/>
      <c r="M391" s="404"/>
      <c r="N391" s="403"/>
      <c r="O391" s="404"/>
      <c r="P391" s="458"/>
      <c r="Q391" s="404"/>
      <c r="R391" s="458"/>
      <c r="S391" s="404"/>
    </row>
    <row r="392" spans="1:42" s="466" customFormat="1" ht="15.6" customHeight="1" x14ac:dyDescent="0.25">
      <c r="A392" s="568" t="s">
        <v>391</v>
      </c>
      <c r="B392" s="481" t="s">
        <v>412</v>
      </c>
      <c r="C392" s="527"/>
      <c r="D392" s="567"/>
      <c r="E392" s="528"/>
      <c r="F392" s="449"/>
      <c r="G392" s="464"/>
      <c r="H392" s="450" t="s">
        <v>3</v>
      </c>
      <c r="I392" s="464"/>
      <c r="J392" s="450"/>
      <c r="K392" s="464"/>
      <c r="L392" s="465"/>
      <c r="M392" s="464"/>
      <c r="N392" s="452"/>
      <c r="O392" s="464"/>
      <c r="P392" s="458"/>
      <c r="Q392" s="404"/>
      <c r="R392" s="458"/>
      <c r="S392" s="404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</row>
    <row r="393" spans="1:42" s="3" customFormat="1" ht="15.6" customHeight="1" x14ac:dyDescent="0.25">
      <c r="A393" s="529"/>
      <c r="B393" s="530"/>
      <c r="C393" s="328"/>
      <c r="D393" s="460"/>
      <c r="E393" s="531"/>
      <c r="F393" s="460"/>
      <c r="G393" s="404"/>
      <c r="H393" s="458"/>
      <c r="I393" s="404"/>
      <c r="J393" s="458"/>
      <c r="K393" s="404"/>
      <c r="L393" s="458"/>
      <c r="M393" s="404"/>
      <c r="N393" s="403"/>
      <c r="O393" s="404"/>
      <c r="P393" s="458"/>
      <c r="Q393" s="404"/>
      <c r="R393" s="458"/>
      <c r="S393" s="404"/>
    </row>
    <row r="394" spans="1:42" s="577" customFormat="1" ht="15.6" customHeight="1" x14ac:dyDescent="0.25">
      <c r="A394" s="570" t="s">
        <v>133</v>
      </c>
      <c r="B394" s="571" t="s">
        <v>413</v>
      </c>
      <c r="C394" s="551"/>
      <c r="D394" s="572">
        <f>VLOOKUP(30850,[1]!qryExcelSlab[#Data],5,FALSE)</f>
        <v>246</v>
      </c>
      <c r="E394" s="573">
        <f>IF(D394=0,0,VLOOKUP(30850,[1]!qryExcelSlab[#Data],4,FALSE))</f>
        <v>19.950000762939453</v>
      </c>
      <c r="F394" s="574"/>
      <c r="G394" s="448"/>
      <c r="H394" s="575"/>
      <c r="I394" s="448"/>
      <c r="J394" s="575"/>
      <c r="K394" s="448"/>
      <c r="L394" s="575"/>
      <c r="M394" s="448"/>
      <c r="N394" s="576"/>
      <c r="O394" s="448"/>
      <c r="P394" s="575"/>
      <c r="Q394" s="448"/>
      <c r="R394" s="575"/>
      <c r="S394" s="448"/>
    </row>
    <row r="395" spans="1:42" s="3" customFormat="1" ht="15.6" customHeight="1" x14ac:dyDescent="0.25">
      <c r="A395" s="529"/>
      <c r="B395" s="530"/>
      <c r="C395" s="328"/>
      <c r="D395" s="460"/>
      <c r="E395" s="531"/>
      <c r="F395" s="460"/>
      <c r="G395" s="404"/>
      <c r="H395" s="458"/>
      <c r="I395" s="404"/>
      <c r="J395" s="458"/>
      <c r="K395" s="404"/>
      <c r="L395" s="458"/>
      <c r="M395" s="404"/>
      <c r="N395" s="403"/>
      <c r="O395" s="404"/>
      <c r="P395" s="458"/>
      <c r="Q395" s="404"/>
      <c r="R395" s="458"/>
      <c r="S395" s="404"/>
    </row>
    <row r="396" spans="1:42" s="466" customFormat="1" ht="15.6" customHeight="1" x14ac:dyDescent="0.25">
      <c r="A396" s="532" t="s">
        <v>414</v>
      </c>
      <c r="B396" s="481" t="s">
        <v>415</v>
      </c>
      <c r="C396" s="527"/>
      <c r="D396" s="449">
        <f>VLOOKUP(30063,[1]!qryExcelSlab[#Data],5,FALSE)</f>
        <v>7</v>
      </c>
      <c r="E396" s="528">
        <f>IF(D396=0,0,VLOOKUP(30063,[1]!qryExcelSlab[#Data],4,FALSE))</f>
        <v>29.5</v>
      </c>
      <c r="F396" s="449"/>
      <c r="G396" s="464"/>
      <c r="H396" s="450"/>
      <c r="I396" s="464"/>
      <c r="J396" s="450"/>
      <c r="K396" s="464"/>
      <c r="L396" s="469"/>
      <c r="M396" s="464"/>
      <c r="N396" s="447"/>
      <c r="O396" s="464"/>
      <c r="P396" s="458"/>
      <c r="Q396" s="404"/>
      <c r="R396" s="458"/>
      <c r="S396" s="404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</row>
    <row r="397" spans="1:42" s="3" customFormat="1" ht="15.6" customHeight="1" x14ac:dyDescent="0.25">
      <c r="A397" s="529"/>
      <c r="B397" s="530"/>
      <c r="C397" s="328"/>
      <c r="D397" s="460"/>
      <c r="E397" s="531"/>
      <c r="F397" s="460"/>
      <c r="G397" s="404"/>
      <c r="H397" s="458"/>
      <c r="I397" s="404"/>
      <c r="J397" s="458"/>
      <c r="K397" s="404"/>
      <c r="L397" s="458"/>
      <c r="M397" s="404"/>
      <c r="N397" s="403"/>
      <c r="O397" s="404"/>
      <c r="P397" s="458"/>
      <c r="Q397" s="404"/>
      <c r="R397" s="458"/>
      <c r="S397" s="404"/>
    </row>
    <row r="398" spans="1:42" s="466" customFormat="1" ht="15.6" customHeight="1" x14ac:dyDescent="0.25">
      <c r="A398" s="532" t="s">
        <v>416</v>
      </c>
      <c r="B398" s="481" t="s">
        <v>417</v>
      </c>
      <c r="C398" s="527"/>
      <c r="D398" s="449" t="s">
        <v>3</v>
      </c>
      <c r="E398" s="528" t="s">
        <v>3</v>
      </c>
      <c r="F398" s="449">
        <f>VLOOKUP(30346,[1]!qryExcelSlab[#Data],5,FALSE)</f>
        <v>0</v>
      </c>
      <c r="G398" s="464">
        <f>IF(F398=0,0,VLOOKUP(30346,[1]!qryExcelSlab[#Data],4,FALSE))</f>
        <v>0</v>
      </c>
      <c r="H398" s="450">
        <f>VLOOKUP(30347,[1]!qryExcelSlab[#Data],5,FALSE)</f>
        <v>4</v>
      </c>
      <c r="I398" s="464">
        <f>IF(H398=0,0,VLOOKUP(30347,[1]!qryExcelSlab[#Data],4,FALSE))</f>
        <v>54</v>
      </c>
      <c r="J398" s="450">
        <f>VLOOKUP(30348,[1]!qryExcelSlab[#Data],5,FALSE)</f>
        <v>8</v>
      </c>
      <c r="K398" s="464">
        <f>IF(J398=0,0,VLOOKUP(30348,[1]!qryExcelSlab[#Data],4,FALSE))</f>
        <v>57</v>
      </c>
      <c r="L398" s="469"/>
      <c r="M398" s="464"/>
      <c r="N398" s="447"/>
      <c r="O398" s="464"/>
      <c r="P398" s="458"/>
      <c r="Q398" s="404"/>
      <c r="R398" s="458"/>
      <c r="S398" s="404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</row>
    <row r="399" spans="1:42" s="3" customFormat="1" ht="15.6" customHeight="1" x14ac:dyDescent="0.25">
      <c r="A399" s="529"/>
      <c r="B399" s="530"/>
      <c r="C399" s="328"/>
      <c r="D399" s="460"/>
      <c r="E399" s="531"/>
      <c r="F399" s="460"/>
      <c r="G399" s="404"/>
      <c r="H399" s="458"/>
      <c r="I399" s="404"/>
      <c r="J399" s="458"/>
      <c r="K399" s="404"/>
      <c r="L399" s="458"/>
      <c r="M399" s="404"/>
      <c r="N399" s="403"/>
      <c r="O399" s="404"/>
      <c r="P399" s="458"/>
      <c r="Q399" s="404"/>
      <c r="R399" s="458"/>
      <c r="S399" s="404"/>
    </row>
    <row r="400" spans="1:42" s="466" customFormat="1" ht="15.6" customHeight="1" x14ac:dyDescent="0.25">
      <c r="A400" s="532" t="s">
        <v>418</v>
      </c>
      <c r="B400" s="481" t="s">
        <v>419</v>
      </c>
      <c r="C400" s="527" t="s">
        <v>420</v>
      </c>
      <c r="D400" s="449" t="s">
        <v>3</v>
      </c>
      <c r="E400" s="528"/>
      <c r="F400" s="447">
        <f>VLOOKUP(23043,[1]!qryExcelSlab[#Data],5,FALSE)</f>
        <v>0</v>
      </c>
      <c r="G400" s="464">
        <f>IF(F400=0,0,VLOOKUP(23043,[1]!qryExcelSlab[#Data],4,FALSE))</f>
        <v>0</v>
      </c>
      <c r="H400" s="450">
        <f>VLOOKUP(16747,[1]!qryExcelSlab[#Data],5,FALSE)</f>
        <v>0</v>
      </c>
      <c r="I400" s="464">
        <f>IF(H400=0,0,VLOOKUP(16747,[1]!qryExcelSlab[#Data],4,FALSE))</f>
        <v>0</v>
      </c>
      <c r="J400" s="450">
        <f>VLOOKUP(16726,[1]!qryExcelSlab[#Data],5,FALSE)</f>
        <v>13</v>
      </c>
      <c r="K400" s="464">
        <f>IF(J400=0,0,VLOOKUP(16726,[1]!qryExcelSlab[#Data],4,FALSE))</f>
        <v>39</v>
      </c>
      <c r="L400" s="469"/>
      <c r="M400" s="464"/>
      <c r="N400" s="447"/>
      <c r="O400" s="464"/>
      <c r="P400" s="458"/>
      <c r="Q400" s="404"/>
      <c r="R400" s="458"/>
      <c r="S400" s="404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</row>
    <row r="401" spans="1:47" s="3" customFormat="1" ht="15.6" customHeight="1" x14ac:dyDescent="0.25">
      <c r="A401" s="550"/>
      <c r="B401" s="530"/>
      <c r="C401" s="328"/>
      <c r="D401" s="334"/>
      <c r="E401" s="531"/>
      <c r="F401" s="334"/>
      <c r="G401" s="404"/>
      <c r="H401" s="457"/>
      <c r="I401" s="404"/>
      <c r="J401" s="457"/>
      <c r="K401" s="404"/>
      <c r="L401" s="458"/>
      <c r="M401" s="404"/>
      <c r="N401" s="403"/>
      <c r="O401" s="404"/>
      <c r="P401" s="458"/>
      <c r="Q401" s="404"/>
      <c r="R401" s="458"/>
      <c r="S401" s="404"/>
    </row>
    <row r="402" spans="1:47" s="466" customFormat="1" ht="15.6" customHeight="1" x14ac:dyDescent="0.25">
      <c r="A402" s="578" t="s">
        <v>421</v>
      </c>
      <c r="B402" s="481" t="s">
        <v>422</v>
      </c>
      <c r="C402" s="527"/>
      <c r="D402" s="449">
        <f>VLOOKUP(30091,[1]!qryExcelSlab[#Data],5,FALSE)</f>
        <v>6</v>
      </c>
      <c r="E402" s="528">
        <f>IF(D402=0,0,VLOOKUP(30091,[1]!qryExcelSlab[#Data],4,FALSE))</f>
        <v>68</v>
      </c>
      <c r="F402" s="447"/>
      <c r="G402" s="464"/>
      <c r="H402" s="450"/>
      <c r="I402" s="464"/>
      <c r="J402" s="450"/>
      <c r="K402" s="464"/>
      <c r="L402" s="469"/>
      <c r="M402" s="464"/>
      <c r="N402" s="447"/>
      <c r="O402" s="464"/>
      <c r="P402" s="458"/>
      <c r="Q402" s="404"/>
      <c r="R402" s="458"/>
      <c r="S402" s="404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</row>
    <row r="403" spans="1:47" s="3" customFormat="1" ht="15.6" customHeight="1" x14ac:dyDescent="0.25">
      <c r="A403" s="529"/>
      <c r="B403" s="530"/>
      <c r="C403" s="328"/>
      <c r="H403" s="5"/>
      <c r="J403" s="5"/>
      <c r="L403" s="5"/>
      <c r="P403" s="5"/>
      <c r="R403" s="5"/>
    </row>
    <row r="404" spans="1:47" s="3" customFormat="1" ht="15.6" customHeight="1" thickBot="1" x14ac:dyDescent="0.3">
      <c r="A404" s="529"/>
      <c r="B404" s="566" t="s">
        <v>423</v>
      </c>
      <c r="C404" s="328"/>
      <c r="H404" s="5"/>
      <c r="J404" s="5"/>
      <c r="L404" s="5"/>
      <c r="P404" s="5"/>
      <c r="R404" s="5"/>
    </row>
    <row r="405" spans="1:47" s="3" customFormat="1" ht="34.5" customHeight="1" thickBot="1" x14ac:dyDescent="0.3">
      <c r="A405" s="579" t="s">
        <v>304</v>
      </c>
      <c r="B405" s="580" t="s">
        <v>424</v>
      </c>
      <c r="C405" s="581" t="s">
        <v>425</v>
      </c>
      <c r="D405" s="582" t="s">
        <v>426</v>
      </c>
      <c r="E405" s="583"/>
      <c r="F405" s="584" t="s">
        <v>427</v>
      </c>
      <c r="G405" s="583"/>
      <c r="H405" s="521" t="s">
        <v>428</v>
      </c>
      <c r="I405" s="583"/>
      <c r="J405" s="521" t="s">
        <v>429</v>
      </c>
      <c r="K405" s="583"/>
      <c r="L405" s="585" t="s">
        <v>430</v>
      </c>
      <c r="M405" s="586"/>
      <c r="N405" s="587" t="s">
        <v>352</v>
      </c>
      <c r="O405" s="586"/>
      <c r="P405" s="585" t="s">
        <v>431</v>
      </c>
      <c r="Q405" s="586"/>
      <c r="R405" s="585" t="s">
        <v>353</v>
      </c>
      <c r="S405" s="588"/>
      <c r="T405" s="584" t="s">
        <v>10</v>
      </c>
      <c r="U405" s="583"/>
      <c r="V405" s="584" t="s">
        <v>11</v>
      </c>
      <c r="W405" s="583"/>
    </row>
    <row r="406" spans="1:47" s="3" customFormat="1" ht="15.6" customHeight="1" x14ac:dyDescent="0.25">
      <c r="A406" s="529"/>
      <c r="B406" s="530"/>
      <c r="C406" s="328"/>
      <c r="D406" s="329"/>
      <c r="E406" s="530"/>
      <c r="F406" s="530"/>
      <c r="G406" s="530"/>
      <c r="H406" s="589"/>
      <c r="I406" s="530"/>
      <c r="J406" s="589"/>
      <c r="K406" s="530"/>
      <c r="L406" s="589"/>
      <c r="M406" s="530"/>
      <c r="N406" s="530"/>
      <c r="O406" s="530"/>
      <c r="P406" s="589"/>
      <c r="Q406" s="530"/>
      <c r="R406" s="589"/>
      <c r="S406" s="590"/>
      <c r="T406" s="442"/>
      <c r="U406" s="442"/>
      <c r="V406" s="442"/>
      <c r="W406" s="442"/>
    </row>
    <row r="407" spans="1:47" s="466" customFormat="1" ht="15.6" customHeight="1" x14ac:dyDescent="0.25">
      <c r="A407" s="532" t="s">
        <v>432</v>
      </c>
      <c r="B407" s="481" t="s">
        <v>433</v>
      </c>
      <c r="C407" s="527" t="s">
        <v>434</v>
      </c>
      <c r="D407" s="449"/>
      <c r="E407" s="464"/>
      <c r="F407" s="447">
        <f>VLOOKUP(30226,[1]!qryExcelSlab[#Data],5,FALSE)</f>
        <v>0</v>
      </c>
      <c r="G407" s="464">
        <f>IF(F407=0,0,VLOOKUP(30226,[1]!qryExcelSlab[#Data],4,FALSE))</f>
        <v>0</v>
      </c>
      <c r="H407" s="469">
        <f>VLOOKUP(30225,[1]!qryExcelSlab[#Data],5,FALSE)</f>
        <v>0</v>
      </c>
      <c r="I407" s="464">
        <f>IF(H407=0,0,VLOOKUP(30225,[1]!qryExcelSlab[#Data],4,FALSE))</f>
        <v>0</v>
      </c>
      <c r="J407" s="450">
        <f>VLOOKUP(30223,[1]!qryExcelSlab[#Data],5,FALSE)</f>
        <v>0</v>
      </c>
      <c r="K407" s="464">
        <f>IF(J407=0,0,VLOOKUP(30223,[1]!qryExcelSlab[#Data],4,FALSE))</f>
        <v>0</v>
      </c>
      <c r="L407" s="450">
        <f>VLOOKUP(30224,[1]!qryExcelSlab[#Data],5,FALSE)</f>
        <v>0</v>
      </c>
      <c r="M407" s="464">
        <f>IF(L407=0,0,VLOOKUP(30224,[1]!qryExcelSlab[#Data],4,FALSE))</f>
        <v>0</v>
      </c>
      <c r="N407" s="447">
        <f>VLOOKUP(30227,[1]!qryExcelSlab[#Data],5,FALSE)</f>
        <v>0</v>
      </c>
      <c r="O407" s="464">
        <f>IF(N407=0,0,VLOOKUP(30227,[1]!qryExcelSlab[#Data],4,FALSE))</f>
        <v>0</v>
      </c>
      <c r="P407" s="450">
        <f>VLOOKUP(30228,[1]!qryExcelSlab[#Data],5,FALSE)</f>
        <v>0</v>
      </c>
      <c r="Q407" s="464">
        <f>IF(P407=0,0,VLOOKUP(30228,[1]!qryExcelSlab[#Data],4,FALSE))</f>
        <v>0</v>
      </c>
      <c r="R407" s="450"/>
      <c r="S407" s="591"/>
      <c r="T407" s="452"/>
      <c r="U407" s="448"/>
      <c r="V407" s="452"/>
      <c r="W407" s="571" t="s">
        <v>24</v>
      </c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</row>
    <row r="408" spans="1:47" s="3" customFormat="1" ht="15.6" customHeight="1" x14ac:dyDescent="0.25">
      <c r="A408" s="529"/>
      <c r="B408" s="530"/>
      <c r="C408" s="328"/>
      <c r="D408" s="460"/>
      <c r="E408" s="404"/>
      <c r="F408" s="403"/>
      <c r="G408" s="404"/>
      <c r="H408" s="458"/>
      <c r="I408" s="404"/>
      <c r="J408" s="458"/>
      <c r="K408" s="404"/>
      <c r="L408" s="458"/>
      <c r="M408" s="404"/>
      <c r="N408" s="403"/>
      <c r="O408" s="404"/>
      <c r="P408" s="458"/>
      <c r="Q408" s="404"/>
      <c r="R408" s="458"/>
      <c r="S408" s="592"/>
      <c r="T408" s="403"/>
      <c r="U408" s="404"/>
      <c r="V408" s="403"/>
      <c r="W408" s="530"/>
    </row>
    <row r="409" spans="1:47" s="466" customFormat="1" ht="15.6" customHeight="1" x14ac:dyDescent="0.25">
      <c r="A409" s="532" t="s">
        <v>435</v>
      </c>
      <c r="B409" s="481" t="s">
        <v>436</v>
      </c>
      <c r="C409" s="527"/>
      <c r="D409" s="449">
        <f>VLOOKUP(23918,[1]!qryExcelSlab[#Data],5,FALSE)</f>
        <v>0</v>
      </c>
      <c r="E409" s="464">
        <f>IF(D409=0,0,VLOOKUP(23918,[1]!qryExcelSlab[#Data],4,FALSE))</f>
        <v>0</v>
      </c>
      <c r="F409" s="447">
        <f>VLOOKUP(23919,[1]!qryExcelSlab[#Data],5,FALSE)</f>
        <v>0</v>
      </c>
      <c r="G409" s="464">
        <f>IF(F409=0,0,VLOOKUP(23919,[1]!qryExcelSlab[#Data],4,FALSE))</f>
        <v>0</v>
      </c>
      <c r="H409" s="469">
        <f>VLOOKUP(30042,[1]!qryExcelSlab[#Data],5,FALSE)</f>
        <v>0</v>
      </c>
      <c r="I409" s="464">
        <f>IF(H409=0,0,VLOOKUP(30042,[1]!qryExcelSlab[#Data],4,FALSE))</f>
        <v>0</v>
      </c>
      <c r="J409" s="450">
        <f>VLOOKUP(23922,[1]!qryExcelSlab[#Data],5,FALSE)</f>
        <v>0</v>
      </c>
      <c r="K409" s="464">
        <f>IF(J409=0,0,VLOOKUP(23922,[1]!qryExcelSlab[#Data],4,FALSE))</f>
        <v>0</v>
      </c>
      <c r="L409" s="450">
        <f>VLOOKUP(30043,[1]!qryExcelSlab[#Data],5,FALSE)</f>
        <v>0</v>
      </c>
      <c r="M409" s="464">
        <f>IF(L409=0,0,VLOOKUP(30043,[1]!qryExcelSlab[#Data],4,FALSE))</f>
        <v>0</v>
      </c>
      <c r="N409" s="447">
        <f>VLOOKUP(23921,[1]!qryExcelSlab[#Data],5,FALSE)</f>
        <v>0</v>
      </c>
      <c r="O409" s="464">
        <f>IF(N409=0,0,VLOOKUP(23921,[1]!qryExcelSlab[#Data],4,FALSE))</f>
        <v>0</v>
      </c>
      <c r="P409" s="450"/>
      <c r="Q409" s="464"/>
      <c r="R409" s="450">
        <f>VLOOKUP(23920,[1]!qryExcelSlab[#Data],5,FALSE)</f>
        <v>0</v>
      </c>
      <c r="S409" s="591"/>
      <c r="T409" s="452"/>
      <c r="U409" s="448"/>
      <c r="V409" s="452"/>
      <c r="W409" s="571" t="s">
        <v>24</v>
      </c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</row>
    <row r="410" spans="1:47" s="3" customFormat="1" ht="15.6" customHeight="1" x14ac:dyDescent="0.25">
      <c r="A410" s="529"/>
      <c r="B410" s="530"/>
      <c r="C410" s="328"/>
      <c r="D410" s="460"/>
      <c r="E410" s="404"/>
      <c r="F410" s="403"/>
      <c r="G410" s="404"/>
      <c r="H410" s="458"/>
      <c r="I410" s="404"/>
      <c r="J410" s="458"/>
      <c r="K410" s="404"/>
      <c r="L410" s="458"/>
      <c r="M410" s="404"/>
      <c r="N410" s="403"/>
      <c r="O410" s="404"/>
      <c r="P410" s="458"/>
      <c r="Q410" s="404"/>
      <c r="R410" s="458"/>
      <c r="S410" s="592"/>
      <c r="T410" s="403"/>
      <c r="U410" s="404"/>
      <c r="V410" s="403"/>
      <c r="W410" s="530"/>
    </row>
    <row r="411" spans="1:47" s="466" customFormat="1" ht="15.6" customHeight="1" x14ac:dyDescent="0.25">
      <c r="A411" s="593" t="s">
        <v>437</v>
      </c>
      <c r="B411" s="481" t="s">
        <v>438</v>
      </c>
      <c r="C411" s="527" t="s">
        <v>439</v>
      </c>
      <c r="D411" s="449"/>
      <c r="E411" s="464"/>
      <c r="F411" s="449">
        <f>VLOOKUP(30577,[1]!qryExcelSlab[#Data],5,FALSE)</f>
        <v>5</v>
      </c>
      <c r="G411" s="464">
        <f>IF(F411=0,0,VLOOKUP(30577,[1]!qryExcelSlab[#Data],4,FALSE))</f>
        <v>85</v>
      </c>
      <c r="H411" s="450"/>
      <c r="I411" s="464"/>
      <c r="J411" s="450">
        <f>VLOOKUP(30576,[1]!qryExcelSlab[#Data],5,FALSE)</f>
        <v>20</v>
      </c>
      <c r="K411" s="464">
        <f>IF(J411=0,0,VLOOKUP(30576,[1]!qryExcelSlab[#Data],4,FALSE))</f>
        <v>105</v>
      </c>
      <c r="L411" s="465"/>
      <c r="M411" s="464"/>
      <c r="N411" s="447">
        <f>VLOOKUP(30575,[1]!qryExcelSlab[#Data],5,FALSE)</f>
        <v>14</v>
      </c>
      <c r="O411" s="464">
        <f>IF(N411=0,0,VLOOKUP(30575,[1]!qryExcelSlab[#Data],4,FALSE))</f>
        <v>125</v>
      </c>
      <c r="P411" s="469"/>
      <c r="Q411" s="448"/>
      <c r="R411" s="469"/>
      <c r="S411" s="594"/>
      <c r="T411" s="595"/>
      <c r="U411" s="448"/>
      <c r="V411" s="595"/>
      <c r="W411" s="571" t="s">
        <v>24</v>
      </c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</row>
    <row r="412" spans="1:47" s="3" customFormat="1" ht="15.6" customHeight="1" x14ac:dyDescent="0.25">
      <c r="A412" s="529"/>
      <c r="B412" s="530"/>
      <c r="C412" s="328"/>
      <c r="D412" s="460"/>
      <c r="E412" s="404"/>
      <c r="F412" s="403"/>
      <c r="G412" s="404"/>
      <c r="H412" s="458"/>
      <c r="I412" s="404"/>
      <c r="J412" s="458"/>
      <c r="K412" s="404"/>
      <c r="L412" s="458"/>
      <c r="M412" s="404"/>
      <c r="N412" s="403"/>
      <c r="O412" s="404"/>
      <c r="P412" s="458"/>
      <c r="Q412" s="404"/>
      <c r="R412" s="458"/>
      <c r="S412" s="592"/>
      <c r="T412" s="403"/>
      <c r="U412" s="404"/>
      <c r="V412" s="403"/>
      <c r="W412" s="530"/>
    </row>
    <row r="413" spans="1:47" s="466" customFormat="1" ht="15.6" customHeight="1" x14ac:dyDescent="0.25">
      <c r="A413" s="532" t="s">
        <v>440</v>
      </c>
      <c r="B413" s="481" t="s">
        <v>441</v>
      </c>
      <c r="C413" s="527" t="s">
        <v>442</v>
      </c>
      <c r="D413" s="449"/>
      <c r="E413" s="464">
        <f>IF(D413=0,0,VLOOKUP(30355,[1]!qryExcelSlab[#Data],4,FALSE))</f>
        <v>0</v>
      </c>
      <c r="F413" s="447">
        <f>VLOOKUP(30354,[1]!qryExcelSlab[#Data],5,FALSE)</f>
        <v>0</v>
      </c>
      <c r="G413" s="464">
        <f>IF(F413=0,0,VLOOKUP(30354,[1]!qryExcelSlab[#Data],4,FALSE))</f>
        <v>0</v>
      </c>
      <c r="H413" s="469"/>
      <c r="I413" s="464"/>
      <c r="J413" s="450">
        <f>VLOOKUP(30230,[1]!qryExcelSlab[#Data],5,FALSE)</f>
        <v>0</v>
      </c>
      <c r="K413" s="464">
        <f>IF(J413=0,0,VLOOKUP(30230,[1]!qryExcelSlab[#Data],4,FALSE))</f>
        <v>0</v>
      </c>
      <c r="L413" s="450">
        <v>8</v>
      </c>
      <c r="M413" s="464">
        <f>IF(L413=0,0,65)</f>
        <v>65</v>
      </c>
      <c r="N413" s="447">
        <f>VLOOKUP(30231,[1]!qryExcelSlab[#Data],5,FALSE)</f>
        <v>0</v>
      </c>
      <c r="O413" s="464">
        <f>IF(N413=0,0,VLOOKUP(30231,[1]!qryExcelSlab[#Data],4,FALSE))</f>
        <v>0</v>
      </c>
      <c r="P413" s="450"/>
      <c r="Q413" s="464"/>
      <c r="R413" s="450">
        <f>VLOOKUP(30574,[1]!qryExcelSlab[#Data],5,FALSE)</f>
        <v>0</v>
      </c>
      <c r="S413" s="596">
        <f>IF(R413=0,0,VLOOKUP(30574,[1]!qryExcelSlab[#Data],4,FALSE))</f>
        <v>0</v>
      </c>
      <c r="T413" s="452"/>
      <c r="U413" s="448"/>
      <c r="V413" s="452"/>
      <c r="W413" s="571" t="s">
        <v>24</v>
      </c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</row>
    <row r="414" spans="1:47" s="3" customFormat="1" ht="15.6" customHeight="1" x14ac:dyDescent="0.25">
      <c r="A414" s="529"/>
      <c r="B414" s="530"/>
      <c r="C414" s="328"/>
      <c r="D414" s="460"/>
      <c r="E414" s="404"/>
      <c r="F414" s="403"/>
      <c r="G414" s="404"/>
      <c r="H414" s="458"/>
      <c r="I414" s="404"/>
      <c r="J414" s="458"/>
      <c r="K414" s="404"/>
      <c r="L414" s="458"/>
      <c r="M414" s="404"/>
      <c r="N414" s="403"/>
      <c r="O414" s="404"/>
      <c r="P414" s="458"/>
      <c r="Q414" s="404"/>
      <c r="R414" s="458"/>
      <c r="S414" s="597"/>
      <c r="T414" s="403"/>
      <c r="U414" s="404"/>
      <c r="V414" s="403"/>
      <c r="W414" s="530"/>
    </row>
    <row r="415" spans="1:47" s="466" customFormat="1" ht="15.6" customHeight="1" x14ac:dyDescent="0.25">
      <c r="A415" s="532" t="s">
        <v>443</v>
      </c>
      <c r="B415" s="481" t="s">
        <v>444</v>
      </c>
      <c r="C415" s="527"/>
      <c r="D415" s="449">
        <f>VLOOKUP(30355,[1]!qryExcelSlab[#Data],5,FALSE)</f>
        <v>1</v>
      </c>
      <c r="E415" s="464">
        <f>IF(D415=0,0,VLOOKUP(30355,[1]!qryExcelSlab[#Data],4,FALSE))</f>
        <v>105</v>
      </c>
      <c r="F415" s="447">
        <f>VLOOKUP(30354,[1]!qryExcelSlab[#Data],5,FALSE)</f>
        <v>0</v>
      </c>
      <c r="G415" s="464">
        <f>IF(F415=0,0,VLOOKUP(30354,[1]!qryExcelSlab[#Data],4,FALSE))</f>
        <v>0</v>
      </c>
      <c r="H415" s="469" t="s">
        <v>3</v>
      </c>
      <c r="I415" s="464"/>
      <c r="J415" s="450"/>
      <c r="K415" s="464"/>
      <c r="L415" s="450">
        <f>VLOOKUP(30229,[1]!qryExcelSlab[#Data],5,FALSE)</f>
        <v>0</v>
      </c>
      <c r="M415" s="464">
        <f>IF(L415=0,0,VLOOKUP(30229,[1]!qryExcelSlab[#Data],4,FALSE))</f>
        <v>0</v>
      </c>
      <c r="N415" s="447"/>
      <c r="O415" s="464"/>
      <c r="P415" s="450"/>
      <c r="Q415" s="464"/>
      <c r="R415" s="450"/>
      <c r="S415" s="591"/>
      <c r="T415" s="452"/>
      <c r="U415" s="448"/>
      <c r="V415" s="452"/>
      <c r="W415" s="571" t="s">
        <v>24</v>
      </c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</row>
    <row r="416" spans="1:47" s="3" customFormat="1" ht="15.6" customHeight="1" x14ac:dyDescent="0.25">
      <c r="A416" s="529"/>
      <c r="B416" s="530"/>
      <c r="C416" s="328"/>
      <c r="D416" s="460"/>
      <c r="E416" s="404"/>
      <c r="F416" s="403"/>
      <c r="G416" s="404"/>
      <c r="H416" s="458"/>
      <c r="I416" s="404"/>
      <c r="J416" s="458"/>
      <c r="K416" s="404"/>
      <c r="L416" s="458"/>
      <c r="M416" s="404"/>
      <c r="N416" s="403"/>
      <c r="O416" s="404"/>
      <c r="P416" s="458"/>
      <c r="Q416" s="404"/>
      <c r="R416" s="458"/>
      <c r="S416" s="592"/>
      <c r="T416" s="403"/>
      <c r="U416" s="404"/>
      <c r="V416" s="403"/>
      <c r="W416" s="530"/>
    </row>
    <row r="417" spans="1:47" s="466" customFormat="1" ht="15.6" customHeight="1" x14ac:dyDescent="0.25">
      <c r="A417" s="532" t="s">
        <v>445</v>
      </c>
      <c r="B417" s="481" t="s">
        <v>446</v>
      </c>
      <c r="C417" s="577" t="s">
        <v>447</v>
      </c>
      <c r="D417" s="449"/>
      <c r="E417" s="464"/>
      <c r="F417" s="447"/>
      <c r="G417" s="464"/>
      <c r="H417" s="469"/>
      <c r="I417" s="464"/>
      <c r="J417" s="450"/>
      <c r="K417" s="464"/>
      <c r="L417" s="450"/>
      <c r="M417" s="464"/>
      <c r="N417" s="447"/>
      <c r="O417" s="464"/>
      <c r="P417" s="450"/>
      <c r="Q417" s="464"/>
      <c r="R417" s="450">
        <f>VLOOKUP(30276,[1]!qryExcelSlab[#Data],5,FALSE)</f>
        <v>5</v>
      </c>
      <c r="S417" s="594">
        <f>IF(R417=0,0,VLOOKUP(30276,[1]!qryExcelSlab[#Data],4,FALSE))</f>
        <v>55</v>
      </c>
      <c r="T417" s="598">
        <f>VLOOKUP(30275,[1]!qryExcelSlab[#Data],5,FALSE)</f>
        <v>64</v>
      </c>
      <c r="U417" s="448">
        <f>IF(T417=0,0,VLOOKUP(30275,[1]!qryExcelSlab[#Data],4,FALSE))</f>
        <v>65</v>
      </c>
      <c r="V417" s="598">
        <f>VLOOKUP(30274,[1]!qryExcelSlab[#Data],5,FALSE)</f>
        <v>12</v>
      </c>
      <c r="W417" s="599">
        <f>IF(V417=0,0,VLOOKUP(30274,[1]!qryExcelSlab[#Data],4,FALSE))</f>
        <v>75</v>
      </c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</row>
    <row r="418" spans="1:47" s="3" customFormat="1" ht="15.6" customHeight="1" x14ac:dyDescent="0.25">
      <c r="A418" s="529"/>
      <c r="B418" s="530"/>
      <c r="C418" s="328"/>
      <c r="D418" s="334"/>
      <c r="E418" s="404"/>
      <c r="F418" s="456"/>
      <c r="G418" s="404"/>
      <c r="H418" s="457"/>
      <c r="I418" s="404"/>
      <c r="J418" s="457"/>
      <c r="K418" s="404"/>
      <c r="L418" s="457"/>
      <c r="M418" s="404"/>
      <c r="N418" s="456"/>
      <c r="O418" s="404"/>
      <c r="P418" s="457"/>
      <c r="Q418" s="404"/>
      <c r="R418" s="457"/>
      <c r="S418" s="597"/>
      <c r="T418" s="600"/>
      <c r="U418" s="404"/>
      <c r="V418" s="600"/>
      <c r="W418" s="601"/>
    </row>
    <row r="419" spans="1:47" s="3" customFormat="1" ht="15.6" customHeight="1" x14ac:dyDescent="0.25">
      <c r="A419" s="570" t="s">
        <v>133</v>
      </c>
      <c r="B419" s="571" t="s">
        <v>448</v>
      </c>
      <c r="C419" s="551" t="s">
        <v>449</v>
      </c>
      <c r="D419" s="449"/>
      <c r="E419" s="464"/>
      <c r="F419" s="447"/>
      <c r="G419" s="464"/>
      <c r="H419" s="469"/>
      <c r="I419" s="464"/>
      <c r="J419" s="450"/>
      <c r="K419" s="464"/>
      <c r="L419" s="450">
        <f>VLOOKUP(30643,[1]!qryExcelSlab[#Data],5,FALSE)</f>
        <v>1</v>
      </c>
      <c r="M419" s="464">
        <f>IF(L419=0,0,VLOOKUP(30643,[1]!qryExcelSlab[#Data],4,FALSE))</f>
        <v>375</v>
      </c>
      <c r="N419" s="447"/>
      <c r="O419" s="464"/>
      <c r="P419" s="450"/>
      <c r="Q419" s="464"/>
      <c r="R419" s="450"/>
      <c r="S419" s="594"/>
      <c r="T419" s="598"/>
      <c r="U419" s="448"/>
      <c r="V419" s="598"/>
      <c r="W419" s="599" t="s">
        <v>24</v>
      </c>
    </row>
    <row r="420" spans="1:47" s="3" customFormat="1" ht="15.6" customHeight="1" x14ac:dyDescent="0.25">
      <c r="A420" s="529"/>
      <c r="B420" s="530"/>
      <c r="C420" s="328"/>
      <c r="D420" s="460"/>
      <c r="E420" s="404"/>
      <c r="F420" s="403"/>
      <c r="G420" s="404"/>
      <c r="H420" s="458"/>
      <c r="I420" s="404"/>
      <c r="J420" s="458"/>
      <c r="K420" s="404"/>
      <c r="L420" s="458"/>
      <c r="M420" s="404"/>
      <c r="N420" s="403"/>
      <c r="O420" s="404"/>
      <c r="P420" s="458"/>
      <c r="Q420" s="404"/>
      <c r="R420" s="458"/>
      <c r="S420" s="592"/>
      <c r="T420" s="403"/>
      <c r="U420" s="404"/>
      <c r="V420" s="403"/>
      <c r="W420" s="530"/>
    </row>
    <row r="421" spans="1:47" s="466" customFormat="1" ht="15.6" customHeight="1" x14ac:dyDescent="0.25">
      <c r="A421" s="570" t="s">
        <v>133</v>
      </c>
      <c r="B421" s="571" t="s">
        <v>450</v>
      </c>
      <c r="C421" s="577" t="s">
        <v>451</v>
      </c>
      <c r="D421" s="449"/>
      <c r="E421" s="464"/>
      <c r="F421" s="447"/>
      <c r="G421" s="464"/>
      <c r="H421" s="469"/>
      <c r="I421" s="464"/>
      <c r="J421" s="450"/>
      <c r="K421" s="464"/>
      <c r="L421" s="450"/>
      <c r="M421" s="464"/>
      <c r="N421" s="447"/>
      <c r="O421" s="464"/>
      <c r="P421" s="450"/>
      <c r="Q421" s="464"/>
      <c r="R421" s="450"/>
      <c r="S421" s="594"/>
      <c r="T421" s="598"/>
      <c r="U421" s="448"/>
      <c r="V421" s="598">
        <f>VLOOKUP(30800,[1]!qryExcelSlab[#Data],5,FALSE)</f>
        <v>25</v>
      </c>
      <c r="W421" s="599">
        <f>IF(V421=0,0,VLOOKUP(30800,[1]!qryExcelSlab[#Data],4,FALSE))</f>
        <v>85</v>
      </c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</row>
    <row r="422" spans="1:47" s="3" customFormat="1" ht="15.6" customHeight="1" x14ac:dyDescent="0.25">
      <c r="A422" s="529"/>
      <c r="B422" s="530"/>
      <c r="C422" s="328"/>
      <c r="D422" s="334"/>
      <c r="E422" s="404"/>
      <c r="F422" s="456"/>
      <c r="G422" s="404"/>
      <c r="H422" s="457"/>
      <c r="I422" s="404"/>
      <c r="J422" s="457"/>
      <c r="K422" s="404"/>
      <c r="L422" s="457"/>
      <c r="M422" s="404"/>
      <c r="N422" s="456"/>
      <c r="O422" s="404"/>
      <c r="P422" s="457"/>
      <c r="Q422" s="404"/>
      <c r="R422" s="457"/>
      <c r="S422" s="597"/>
      <c r="T422" s="600"/>
      <c r="U422" s="404"/>
      <c r="V422" s="600"/>
      <c r="W422" s="601"/>
    </row>
    <row r="423" spans="1:47" s="466" customFormat="1" ht="15.6" customHeight="1" x14ac:dyDescent="0.25">
      <c r="A423" s="570" t="s">
        <v>133</v>
      </c>
      <c r="B423" s="571" t="s">
        <v>452</v>
      </c>
      <c r="C423" s="577" t="s">
        <v>453</v>
      </c>
      <c r="D423" s="449"/>
      <c r="E423" s="464"/>
      <c r="F423" s="447"/>
      <c r="G423" s="464"/>
      <c r="H423" s="469"/>
      <c r="I423" s="464"/>
      <c r="J423" s="450"/>
      <c r="K423" s="464"/>
      <c r="L423" s="450"/>
      <c r="M423" s="464"/>
      <c r="N423" s="447"/>
      <c r="O423" s="464"/>
      <c r="P423" s="450"/>
      <c r="Q423" s="464"/>
      <c r="R423" s="450">
        <f>VLOOKUP(30802,[1]!qryExcelSlab[#Data],5,FALSE)</f>
        <v>2</v>
      </c>
      <c r="S423" s="594">
        <f>IF(R423=0,0,VLOOKUP(30802,[1]!qryExcelSlab[#Data],4,FALSE))</f>
        <v>75</v>
      </c>
      <c r="T423" s="598"/>
      <c r="U423" s="448"/>
      <c r="V423" s="598">
        <f>VLOOKUP(30801,[1]!qryExcelSlab[#Data],5,FALSE)</f>
        <v>25</v>
      </c>
      <c r="W423" s="599">
        <f>IF(V423=0,0,VLOOKUP(30801,[1]!qryExcelSlab[#Data],4,FALSE))</f>
        <v>85</v>
      </c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</row>
    <row r="424" spans="1:47" s="3" customFormat="1" ht="15.6" customHeight="1" x14ac:dyDescent="0.25">
      <c r="A424" s="529"/>
      <c r="B424" s="530"/>
      <c r="C424" s="328"/>
      <c r="D424" s="398"/>
      <c r="E424" s="509"/>
      <c r="F424" s="398"/>
      <c r="G424" s="509"/>
      <c r="H424" s="511"/>
      <c r="I424" s="509"/>
      <c r="J424" s="511"/>
      <c r="K424" s="509"/>
      <c r="L424" s="511"/>
      <c r="N424" s="398"/>
      <c r="P424" s="511"/>
      <c r="R424" s="511"/>
      <c r="S424" s="602"/>
      <c r="T424" s="396"/>
      <c r="U424" s="603"/>
      <c r="V424" s="396"/>
      <c r="W424" s="603"/>
    </row>
    <row r="425" spans="1:47" s="3" customFormat="1" ht="15.6" customHeight="1" thickBot="1" x14ac:dyDescent="0.3">
      <c r="A425" s="529"/>
      <c r="B425" s="604" t="s">
        <v>454</v>
      </c>
      <c r="C425" s="328" t="s">
        <v>3</v>
      </c>
      <c r="H425" s="5"/>
      <c r="J425" s="5"/>
      <c r="L425" s="5"/>
      <c r="P425" s="5"/>
      <c r="R425" s="5"/>
    </row>
    <row r="426" spans="1:47" s="3" customFormat="1" ht="15.6" customHeight="1" x14ac:dyDescent="0.25">
      <c r="A426" s="605" t="s">
        <v>304</v>
      </c>
      <c r="B426" s="606" t="s">
        <v>424</v>
      </c>
      <c r="C426" s="607" t="s">
        <v>86</v>
      </c>
      <c r="D426" s="608" t="s">
        <v>455</v>
      </c>
      <c r="E426" s="609"/>
      <c r="F426" s="610" t="s">
        <v>456</v>
      </c>
      <c r="G426" s="609"/>
      <c r="H426" s="611" t="s">
        <v>457</v>
      </c>
      <c r="I426" s="612"/>
      <c r="J426" s="5"/>
      <c r="L426" s="5"/>
      <c r="P426" s="5"/>
      <c r="R426" s="5"/>
    </row>
    <row r="427" spans="1:47" s="3" customFormat="1" ht="15.6" customHeight="1" x14ac:dyDescent="0.25">
      <c r="A427" s="529"/>
      <c r="B427" s="580"/>
      <c r="C427" s="328"/>
      <c r="D427" s="329" t="s">
        <v>313</v>
      </c>
      <c r="E427" s="613" t="s">
        <v>314</v>
      </c>
      <c r="F427" s="329" t="s">
        <v>313</v>
      </c>
      <c r="G427" s="530" t="s">
        <v>314</v>
      </c>
      <c r="H427" s="589" t="s">
        <v>313</v>
      </c>
      <c r="I427" s="530" t="s">
        <v>314</v>
      </c>
      <c r="J427" s="5"/>
      <c r="L427" s="5"/>
      <c r="P427" s="5"/>
      <c r="R427" s="5"/>
    </row>
    <row r="428" spans="1:47" s="466" customFormat="1" ht="15.6" customHeight="1" thickBot="1" x14ac:dyDescent="0.3">
      <c r="A428" s="98" t="s">
        <v>3</v>
      </c>
      <c r="B428" s="614" t="s">
        <v>458</v>
      </c>
      <c r="C428" s="615" t="s">
        <v>459</v>
      </c>
      <c r="D428" s="616">
        <f>VLOOKUP(30351,[1]!qryExcelSlab[#Data],5,FALSE)</f>
        <v>0</v>
      </c>
      <c r="E428" s="617">
        <f>IF(D428=0,0,VLOOKUP(30351,[1]!qryExcelSlab[#Data],4,FALSE))</f>
        <v>0</v>
      </c>
      <c r="F428" s="618">
        <f>VLOOKUP(30352,[1]!qryExcelSlab[#Data],5,FALSE)</f>
        <v>0</v>
      </c>
      <c r="G428" s="617">
        <f>IF(F428=0,0,VLOOKUP(30352,[1]!qryExcelSlab[#Data],4,FALSE))</f>
        <v>0</v>
      </c>
      <c r="H428" s="619">
        <f>VLOOKUP(30353,[1]!qryExcelSlab[#Data],5,FALSE)</f>
        <v>0</v>
      </c>
      <c r="I428" s="617">
        <f>IF(H428=0,0,VLOOKUP(30353,[1]!qryExcelSlab[#Data],4,FALSE))</f>
        <v>0</v>
      </c>
      <c r="J428" s="5"/>
      <c r="K428" s="3"/>
      <c r="L428" s="5"/>
      <c r="M428" s="3"/>
      <c r="N428" s="3"/>
      <c r="O428" s="3"/>
      <c r="P428" s="5"/>
      <c r="Q428" s="3"/>
      <c r="R428" s="5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</row>
    <row r="429" spans="1:47" s="3" customFormat="1" ht="15.75" x14ac:dyDescent="0.25">
      <c r="A429" s="455"/>
      <c r="C429" s="428"/>
      <c r="H429" s="5"/>
      <c r="J429" s="5"/>
      <c r="L429" s="5"/>
      <c r="P429" s="5"/>
      <c r="R429" s="5"/>
    </row>
    <row r="430" spans="1:47" s="3" customFormat="1" ht="15.75" x14ac:dyDescent="0.25">
      <c r="A430" s="455"/>
      <c r="C430" s="428"/>
      <c r="H430" s="5"/>
      <c r="J430" s="5"/>
      <c r="L430" s="5"/>
      <c r="P430" s="5"/>
      <c r="R430" s="5"/>
    </row>
    <row r="431" spans="1:47" s="3" customFormat="1" ht="15.75" x14ac:dyDescent="0.25">
      <c r="A431" s="455"/>
      <c r="C431" s="428"/>
      <c r="E431"/>
      <c r="F431"/>
      <c r="G431"/>
      <c r="H431" s="5"/>
      <c r="J431" s="5"/>
      <c r="L431" s="5"/>
      <c r="P431" s="5"/>
      <c r="R431" s="5"/>
    </row>
    <row r="432" spans="1:47" s="3" customFormat="1" ht="15.75" x14ac:dyDescent="0.25">
      <c r="A432" s="455"/>
      <c r="C432" s="428"/>
      <c r="E432"/>
      <c r="F432"/>
      <c r="G432"/>
      <c r="H432" s="5"/>
      <c r="J432" s="5"/>
      <c r="L432" s="5"/>
      <c r="P432" s="5"/>
      <c r="R432" s="5"/>
    </row>
    <row r="433" spans="1:18" s="3" customFormat="1" ht="15.75" x14ac:dyDescent="0.25">
      <c r="A433" s="455"/>
      <c r="C433" s="428"/>
      <c r="E433"/>
      <c r="F433"/>
      <c r="G433"/>
      <c r="H433" s="5"/>
      <c r="J433" s="5"/>
      <c r="L433" s="5"/>
      <c r="P433" s="5"/>
      <c r="R433" s="5"/>
    </row>
    <row r="434" spans="1:18" s="3" customFormat="1" ht="15.75" x14ac:dyDescent="0.25">
      <c r="A434" s="455"/>
      <c r="C434" s="428"/>
      <c r="H434" s="5"/>
      <c r="J434" s="5"/>
      <c r="L434" s="5"/>
      <c r="P434" s="5"/>
      <c r="R434" s="5"/>
    </row>
    <row r="435" spans="1:18" s="3" customFormat="1" ht="15.75" x14ac:dyDescent="0.25">
      <c r="A435" s="455"/>
      <c r="C435" s="428"/>
      <c r="H435" s="5"/>
      <c r="J435" s="5"/>
      <c r="L435" s="5"/>
      <c r="P435" s="5"/>
      <c r="R435" s="5"/>
    </row>
    <row r="436" spans="1:18" s="3" customFormat="1" ht="15.75" x14ac:dyDescent="0.25">
      <c r="A436" s="455"/>
      <c r="C436" s="428"/>
      <c r="H436" s="5"/>
      <c r="J436" s="5"/>
      <c r="L436" s="5"/>
      <c r="P436" s="5"/>
      <c r="R436" s="5"/>
    </row>
    <row r="437" spans="1:18" s="3" customFormat="1" ht="15.75" x14ac:dyDescent="0.25">
      <c r="A437" s="455"/>
      <c r="C437" s="428"/>
      <c r="H437" s="5"/>
      <c r="J437" s="5"/>
      <c r="L437" s="5"/>
      <c r="P437" s="5"/>
      <c r="R437" s="5"/>
    </row>
    <row r="438" spans="1:18" s="3" customFormat="1" ht="15.75" x14ac:dyDescent="0.25">
      <c r="A438" s="455"/>
      <c r="C438" s="428"/>
      <c r="H438" s="5"/>
      <c r="J438" s="5"/>
      <c r="L438" s="5"/>
      <c r="P438" s="5"/>
      <c r="R438" s="5"/>
    </row>
    <row r="439" spans="1:18" s="3" customFormat="1" ht="15.75" x14ac:dyDescent="0.25">
      <c r="A439" s="455"/>
      <c r="C439" s="428"/>
      <c r="H439" s="5"/>
      <c r="J439" s="5"/>
      <c r="L439" s="5"/>
      <c r="P439" s="5"/>
      <c r="R439" s="5"/>
    </row>
    <row r="440" spans="1:18" s="3" customFormat="1" ht="15.75" x14ac:dyDescent="0.25">
      <c r="A440" s="455"/>
      <c r="C440" s="428"/>
      <c r="H440" s="5"/>
      <c r="J440" s="5"/>
      <c r="L440" s="5"/>
      <c r="P440" s="5"/>
      <c r="R440" s="5"/>
    </row>
    <row r="441" spans="1:18" s="3" customFormat="1" ht="15.75" x14ac:dyDescent="0.25">
      <c r="A441" s="455"/>
      <c r="C441" s="428"/>
      <c r="H441" s="5"/>
      <c r="J441" s="5"/>
      <c r="L441" s="5"/>
      <c r="P441" s="5"/>
      <c r="R441" s="5"/>
    </row>
    <row r="442" spans="1:18" s="3" customFormat="1" ht="15.75" x14ac:dyDescent="0.25">
      <c r="A442" s="455"/>
      <c r="C442" s="428"/>
      <c r="H442" s="5"/>
      <c r="J442" s="5"/>
      <c r="L442" s="5"/>
      <c r="P442" s="5"/>
      <c r="R442" s="5"/>
    </row>
    <row r="443" spans="1:18" s="3" customFormat="1" ht="15.75" x14ac:dyDescent="0.25">
      <c r="A443" s="455"/>
      <c r="C443" s="428"/>
      <c r="H443" s="5"/>
      <c r="J443" s="5"/>
      <c r="L443" s="5"/>
      <c r="P443" s="5"/>
      <c r="R443" s="5"/>
    </row>
    <row r="444" spans="1:18" s="3" customFormat="1" ht="15.75" x14ac:dyDescent="0.25">
      <c r="A444" s="455"/>
      <c r="C444" s="428"/>
      <c r="H444" s="5"/>
      <c r="J444" s="5"/>
      <c r="L444" s="5"/>
      <c r="P444" s="5"/>
      <c r="R444" s="5"/>
    </row>
    <row r="445" spans="1:18" s="3" customFormat="1" ht="15.75" x14ac:dyDescent="0.25">
      <c r="A445" s="455"/>
      <c r="C445" s="428"/>
      <c r="H445" s="5"/>
      <c r="J445" s="5"/>
      <c r="L445" s="5"/>
      <c r="P445" s="5"/>
      <c r="R445" s="5"/>
    </row>
    <row r="446" spans="1:18" s="3" customFormat="1" ht="15.75" x14ac:dyDescent="0.25">
      <c r="A446" s="455"/>
      <c r="C446" s="428"/>
      <c r="H446" s="5"/>
      <c r="J446" s="5"/>
      <c r="L446" s="5"/>
      <c r="P446" s="5"/>
      <c r="R446" s="5"/>
    </row>
    <row r="447" spans="1:18" s="3" customFormat="1" ht="15.75" x14ac:dyDescent="0.25">
      <c r="A447" s="455"/>
      <c r="C447" s="428"/>
      <c r="H447" s="5"/>
      <c r="J447" s="5"/>
      <c r="L447" s="5"/>
      <c r="P447" s="5"/>
      <c r="R447" s="5"/>
    </row>
    <row r="448" spans="1:18" s="3" customFormat="1" ht="15.75" x14ac:dyDescent="0.25">
      <c r="A448" s="455"/>
      <c r="C448" s="428"/>
      <c r="H448" s="5"/>
      <c r="J448" s="5"/>
      <c r="L448" s="5"/>
      <c r="P448" s="5"/>
      <c r="R448" s="5"/>
    </row>
    <row r="449" spans="1:18" s="3" customFormat="1" ht="15.75" x14ac:dyDescent="0.25">
      <c r="A449" s="455"/>
      <c r="C449" s="428"/>
      <c r="H449" s="5"/>
      <c r="J449" s="5"/>
      <c r="L449" s="5"/>
      <c r="P449" s="5"/>
      <c r="R449" s="5"/>
    </row>
    <row r="450" spans="1:18" s="3" customFormat="1" ht="15.75" x14ac:dyDescent="0.25">
      <c r="A450" s="455"/>
      <c r="C450" s="428"/>
      <c r="H450" s="5"/>
      <c r="J450" s="5"/>
      <c r="L450" s="5"/>
      <c r="P450" s="5"/>
      <c r="R450" s="5"/>
    </row>
    <row r="451" spans="1:18" s="3" customFormat="1" ht="15.75" x14ac:dyDescent="0.25">
      <c r="A451" s="455"/>
      <c r="C451" s="428"/>
      <c r="H451" s="5"/>
      <c r="J451" s="5"/>
      <c r="L451" s="5"/>
      <c r="P451" s="5"/>
      <c r="R451" s="5"/>
    </row>
    <row r="452" spans="1:18" s="3" customFormat="1" ht="15.75" x14ac:dyDescent="0.25">
      <c r="A452" s="455"/>
      <c r="C452" s="428"/>
      <c r="H452" s="5"/>
      <c r="J452" s="5"/>
      <c r="L452" s="5"/>
      <c r="P452" s="5"/>
      <c r="R452" s="5"/>
    </row>
    <row r="453" spans="1:18" s="3" customFormat="1" ht="15.75" x14ac:dyDescent="0.25">
      <c r="A453" s="455"/>
      <c r="C453" s="428"/>
      <c r="H453" s="5"/>
      <c r="J453" s="5"/>
      <c r="L453" s="5"/>
      <c r="P453" s="5"/>
      <c r="R453" s="5"/>
    </row>
    <row r="454" spans="1:18" s="3" customFormat="1" ht="15.75" x14ac:dyDescent="0.25">
      <c r="A454" s="455"/>
      <c r="C454" s="428"/>
      <c r="H454" s="5"/>
      <c r="J454" s="5"/>
      <c r="L454" s="5"/>
      <c r="P454" s="5"/>
      <c r="R454" s="5"/>
    </row>
    <row r="455" spans="1:18" s="3" customFormat="1" ht="15.75" x14ac:dyDescent="0.25">
      <c r="A455" s="455"/>
      <c r="C455" s="428"/>
      <c r="H455" s="5"/>
      <c r="J455" s="5"/>
      <c r="L455" s="5"/>
      <c r="P455" s="5"/>
      <c r="R455" s="5"/>
    </row>
    <row r="456" spans="1:18" s="3" customFormat="1" ht="15.75" x14ac:dyDescent="0.25">
      <c r="A456" s="455"/>
      <c r="C456" s="428"/>
      <c r="H456" s="5"/>
      <c r="J456" s="5"/>
      <c r="L456" s="5"/>
      <c r="P456" s="5"/>
      <c r="R456" s="5"/>
    </row>
    <row r="457" spans="1:18" s="3" customFormat="1" ht="15.75" x14ac:dyDescent="0.25">
      <c r="A457" s="455"/>
      <c r="C457" s="428"/>
      <c r="H457" s="5"/>
      <c r="J457" s="5"/>
      <c r="L457" s="5"/>
      <c r="P457" s="5"/>
      <c r="R457" s="5"/>
    </row>
  </sheetData>
  <mergeCells count="125">
    <mergeCell ref="D339:E339"/>
    <mergeCell ref="F339:G339"/>
    <mergeCell ref="H339:I339"/>
    <mergeCell ref="J339:K339"/>
    <mergeCell ref="L339:M339"/>
    <mergeCell ref="N339:O339"/>
    <mergeCell ref="D336:E336"/>
    <mergeCell ref="F336:G336"/>
    <mergeCell ref="H336:I336"/>
    <mergeCell ref="J336:K336"/>
    <mergeCell ref="L336:M336"/>
    <mergeCell ref="N336:O336"/>
    <mergeCell ref="S305:T305"/>
    <mergeCell ref="D308:E308"/>
    <mergeCell ref="F308:G308"/>
    <mergeCell ref="H308:I308"/>
    <mergeCell ref="J308:K308"/>
    <mergeCell ref="L308:M308"/>
    <mergeCell ref="N308:O308"/>
    <mergeCell ref="G305:H305"/>
    <mergeCell ref="I305:J305"/>
    <mergeCell ref="K305:L305"/>
    <mergeCell ref="M305:N305"/>
    <mergeCell ref="O305:P305"/>
    <mergeCell ref="Q305:R305"/>
    <mergeCell ref="S218:T218"/>
    <mergeCell ref="G254:H254"/>
    <mergeCell ref="I254:J254"/>
    <mergeCell ref="K254:L254"/>
    <mergeCell ref="M254:N254"/>
    <mergeCell ref="O254:P254"/>
    <mergeCell ref="Q254:R254"/>
    <mergeCell ref="S254:T254"/>
    <mergeCell ref="G218:H218"/>
    <mergeCell ref="I218:J218"/>
    <mergeCell ref="K218:L218"/>
    <mergeCell ref="M218:N218"/>
    <mergeCell ref="O218:P218"/>
    <mergeCell ref="Q218:R218"/>
    <mergeCell ref="S200:T200"/>
    <mergeCell ref="G216:H216"/>
    <mergeCell ref="I216:J216"/>
    <mergeCell ref="K216:L216"/>
    <mergeCell ref="M216:N216"/>
    <mergeCell ref="O216:P216"/>
    <mergeCell ref="Q216:R216"/>
    <mergeCell ref="S216:T216"/>
    <mergeCell ref="G200:H200"/>
    <mergeCell ref="I200:J200"/>
    <mergeCell ref="K200:L200"/>
    <mergeCell ref="M200:N200"/>
    <mergeCell ref="O200:P200"/>
    <mergeCell ref="Q200:R200"/>
    <mergeCell ref="S157:T157"/>
    <mergeCell ref="G198:H198"/>
    <mergeCell ref="I198:J198"/>
    <mergeCell ref="K198:L198"/>
    <mergeCell ref="M198:N198"/>
    <mergeCell ref="O198:P198"/>
    <mergeCell ref="Q198:R198"/>
    <mergeCell ref="S198:T198"/>
    <mergeCell ref="G157:H157"/>
    <mergeCell ref="I157:J157"/>
    <mergeCell ref="K157:L157"/>
    <mergeCell ref="M157:N157"/>
    <mergeCell ref="O157:P157"/>
    <mergeCell ref="Q157:R157"/>
    <mergeCell ref="S146:T146"/>
    <mergeCell ref="G155:H155"/>
    <mergeCell ref="I155:J155"/>
    <mergeCell ref="K155:L155"/>
    <mergeCell ref="M155:N155"/>
    <mergeCell ref="O155:P155"/>
    <mergeCell ref="Q155:R155"/>
    <mergeCell ref="S155:T155"/>
    <mergeCell ref="G146:H146"/>
    <mergeCell ref="I146:J146"/>
    <mergeCell ref="K146:L146"/>
    <mergeCell ref="M146:N146"/>
    <mergeCell ref="O146:P146"/>
    <mergeCell ref="Q146:R146"/>
    <mergeCell ref="S134:T134"/>
    <mergeCell ref="G136:H136"/>
    <mergeCell ref="I136:J136"/>
    <mergeCell ref="K136:L136"/>
    <mergeCell ref="M136:N136"/>
    <mergeCell ref="O136:P136"/>
    <mergeCell ref="Q136:R136"/>
    <mergeCell ref="S136:T136"/>
    <mergeCell ref="G134:H134"/>
    <mergeCell ref="I134:J134"/>
    <mergeCell ref="K134:L134"/>
    <mergeCell ref="M134:N134"/>
    <mergeCell ref="O134:P134"/>
    <mergeCell ref="Q134:R134"/>
    <mergeCell ref="S53:T53"/>
    <mergeCell ref="G72:H72"/>
    <mergeCell ref="I72:J72"/>
    <mergeCell ref="K72:L72"/>
    <mergeCell ref="M72:N72"/>
    <mergeCell ref="O72:P72"/>
    <mergeCell ref="Q72:R72"/>
    <mergeCell ref="S72:T72"/>
    <mergeCell ref="G53:H53"/>
    <mergeCell ref="I53:J53"/>
    <mergeCell ref="K53:L53"/>
    <mergeCell ref="M53:N53"/>
    <mergeCell ref="O53:P53"/>
    <mergeCell ref="Q53:R53"/>
    <mergeCell ref="O5:P5"/>
    <mergeCell ref="Q5:R5"/>
    <mergeCell ref="S5:T5"/>
    <mergeCell ref="G51:H51"/>
    <mergeCell ref="I51:J51"/>
    <mergeCell ref="K51:L51"/>
    <mergeCell ref="M51:N51"/>
    <mergeCell ref="O51:P51"/>
    <mergeCell ref="Q51:R51"/>
    <mergeCell ref="S51:T51"/>
    <mergeCell ref="A1:E1"/>
    <mergeCell ref="A2:E2"/>
    <mergeCell ref="G5:H5"/>
    <mergeCell ref="I5:J5"/>
    <mergeCell ref="K5:L5"/>
    <mergeCell ref="M5:N5"/>
  </mergeCells>
  <hyperlinks>
    <hyperlink ref="A7" r:id="rId1" xr:uid="{2B129911-52D3-4686-B1D1-A94ED9435BDE}"/>
    <hyperlink ref="A16" r:id="rId2" xr:uid="{86BFDFF1-CAD4-40ED-850B-FAEB3300C5F6}"/>
    <hyperlink ref="A22" r:id="rId3" xr:uid="{088FAE4D-1872-4775-84FC-1094697AEE2F}"/>
    <hyperlink ref="A24" r:id="rId4" xr:uid="{929703E6-DAD6-4593-96A2-E9E9227A8120}"/>
    <hyperlink ref="A27" r:id="rId5" xr:uid="{F7606516-2E3D-4613-88D5-7360C1338947}"/>
    <hyperlink ref="A29" r:id="rId6" xr:uid="{3E9D635C-B306-43BA-B20B-FC59304E6735}"/>
    <hyperlink ref="A31" r:id="rId7" xr:uid="{C4D6885C-8EC7-45AE-833B-5BA849BB3B0A}"/>
    <hyperlink ref="A35" r:id="rId8" xr:uid="{932E89CC-358D-4EBC-ADB2-15F111BB396C}"/>
    <hyperlink ref="A39" r:id="rId9" xr:uid="{02D9597B-529E-43E2-9F0B-0E801CE35955}"/>
    <hyperlink ref="A43" r:id="rId10" xr:uid="{290A2A2C-930B-41C7-89B5-A0389D8E8350}"/>
    <hyperlink ref="A46" r:id="rId11" xr:uid="{F92A9F23-5CA0-4F82-A443-29FDED29AB16}"/>
    <hyperlink ref="A83" r:id="rId12" xr:uid="{58E4DA20-D49A-4039-B48E-F63370AF1A62}"/>
    <hyperlink ref="A84" r:id="rId13" xr:uid="{2C880158-8A71-4D87-955D-13CCB2384F2B}"/>
    <hyperlink ref="A90" r:id="rId14" xr:uid="{B458DDE9-9642-4CC6-A0D4-0DD5B3998E53}"/>
    <hyperlink ref="A92" r:id="rId15" xr:uid="{DD24F24E-64E8-49D1-B765-928B29A99794}"/>
    <hyperlink ref="A100" r:id="rId16" xr:uid="{23417616-0875-48EB-AC6F-4609858E8792}"/>
    <hyperlink ref="A104" r:id="rId17" xr:uid="{12D72610-DAC4-4322-AAC0-49592F308124}"/>
    <hyperlink ref="A114" r:id="rId18" xr:uid="{785A815C-F35B-42E8-95EC-C16348567324}"/>
    <hyperlink ref="A117" r:id="rId19" xr:uid="{CB86E32C-2346-4623-A2EC-B524B86DF83C}"/>
    <hyperlink ref="A119" r:id="rId20" xr:uid="{D137EAC6-09DC-4BA9-95AA-220AA3D73B6C}"/>
    <hyperlink ref="A138" r:id="rId21" xr:uid="{F40DF970-51CA-45FF-8EAC-7A7907A92581}"/>
    <hyperlink ref="A159" r:id="rId22" xr:uid="{1EC58248-117C-444E-9512-000C0065F3CF}"/>
    <hyperlink ref="A165" r:id="rId23" xr:uid="{E78CCA6C-2058-4D24-A698-9072707D013C}"/>
    <hyperlink ref="A171" r:id="rId24" xr:uid="{2A77DA78-DC4F-4E0B-BF7D-2D0E77770D92}"/>
    <hyperlink ref="A177" r:id="rId25" xr:uid="{913620A5-C69A-43B6-8C49-47155A43301D}"/>
    <hyperlink ref="A179" r:id="rId26" xr:uid="{B232BFFA-D1DF-4E38-9EC8-A11588DF1E32}"/>
    <hyperlink ref="A183" r:id="rId27" xr:uid="{DD2272CE-0E95-406A-B080-A44FE802A097}"/>
    <hyperlink ref="A185" r:id="rId28" xr:uid="{C8DE681A-168E-4F89-88BC-91E6FF516A5D}"/>
    <hyperlink ref="A224" r:id="rId29" display="https://www.educationalcoin.com/ancient-coins/ngc-certified-slabs.html?ruler=1431" xr:uid="{9778147F-46B8-4BD4-AC7E-F90F6E62C326}"/>
    <hyperlink ref="A227" r:id="rId30" display="https://www.educationalcoin.com/ancient-coins/ngc-certified-slabs.html?ruler=990" xr:uid="{82BB7CC8-E8B0-49A8-8DE0-99A40E59FD6A}"/>
    <hyperlink ref="A231" r:id="rId31" xr:uid="{8F8AD177-C2C8-4F71-A24F-2D4E28931684}"/>
    <hyperlink ref="A233" r:id="rId32" xr:uid="{D58D7634-42EB-4030-80F9-789D41E84C10}"/>
    <hyperlink ref="A239" r:id="rId33" display="https://www.educationalcoin.com/ancient-coins/ngc-certified-slabs.html?ruler=1503" xr:uid="{BD4119A9-C28B-4853-BB55-F21A7D2EF1B9}"/>
    <hyperlink ref="A243" r:id="rId34" xr:uid="{E7807435-527D-4E69-BF90-673FA64CF79F}"/>
    <hyperlink ref="A249" r:id="rId35" xr:uid="{1BE8DB3C-C83D-483A-97BF-B6DF33DC5174}"/>
    <hyperlink ref="A253" r:id="rId36" xr:uid="{B51FFCC2-9F46-446F-AE9E-08C0C6A636EB}"/>
    <hyperlink ref="A268" r:id="rId37" xr:uid="{4C80A97C-7B54-4180-85E3-D56E74E2E19D}"/>
    <hyperlink ref="A270" r:id="rId38" xr:uid="{E9C5AD2F-B65C-4549-A6C1-6E36A5C23EF6}"/>
    <hyperlink ref="A275" r:id="rId39" xr:uid="{E30B09EC-0794-487F-B550-6BE96DA41E40}"/>
    <hyperlink ref="A197" r:id="rId40" xr:uid="{AEEDCEBE-D71A-4AB3-96A3-575511798A23}"/>
    <hyperlink ref="A75" r:id="rId41" xr:uid="{C46EA760-2CB4-46D7-9BB8-77C1A2A7BB1E}"/>
    <hyperlink ref="A33" r:id="rId42" xr:uid="{60F264B2-7494-4472-95C8-00496BF8351F}"/>
    <hyperlink ref="A12" r:id="rId43" xr:uid="{8D6227C1-5706-47E2-938D-304249C5A847}"/>
    <hyperlink ref="A191" r:id="rId44" xr:uid="{428A18E7-558B-433A-9A5E-3894B7E85DF4}"/>
    <hyperlink ref="A193" r:id="rId45" xr:uid="{B6EDDC4C-8BAB-43BB-92F6-7BB0164096F6}"/>
    <hyperlink ref="A279" r:id="rId46" xr:uid="{2BC02F47-B4ED-4330-B1A3-CB7FCF82C682}"/>
    <hyperlink ref="A287" r:id="rId47" xr:uid="{E5259AE7-22D1-4EEB-98B0-8D4619D0E762}"/>
    <hyperlink ref="A48" r:id="rId48" xr:uid="{DB0D1D50-26D0-4FE7-B38C-4BA51B1ED7A0}"/>
    <hyperlink ref="A161" r:id="rId49" xr:uid="{BE6AF0C0-3B7E-4D96-9D98-2379DD7BF447}"/>
    <hyperlink ref="A93" r:id="rId50" xr:uid="{DB481162-8C73-4D9A-B48A-5D3F3C3EF9D9}"/>
    <hyperlink ref="A44" r:id="rId51" xr:uid="{A9731B4B-A002-4290-BA89-EC93DE941EA7}"/>
    <hyperlink ref="A80" r:id="rId52" xr:uid="{71C7CF19-6758-4E69-A397-F15EC00843BE}"/>
    <hyperlink ref="A79" r:id="rId53" xr:uid="{F6E24F82-C022-4077-B93E-F0BAC426A771}"/>
    <hyperlink ref="A81" r:id="rId54" xr:uid="{6A7B78D5-B8B5-45F2-9BCD-F49A345E3814}"/>
    <hyperlink ref="A94" r:id="rId55" xr:uid="{F3E26BA8-29C2-4423-89E0-5EA47E111026}"/>
    <hyperlink ref="A121" r:id="rId56" xr:uid="{538962A3-B652-43F3-A867-39CA49E3B15E}"/>
    <hyperlink ref="A98" r:id="rId57" xr:uid="{82AF5A0D-8914-45FD-A7DF-C2CC76832F1E}"/>
    <hyperlink ref="A105" r:id="rId58" xr:uid="{E5F6AE4D-8C58-4713-8D1D-E8DE00777AB9}"/>
    <hyperlink ref="A210" r:id="rId59" display="https://www.educationalcoin.com/product-category/ancient-historical/ngc-certified-slabs/?_ruler_for_landing_page=Vetranio" xr:uid="{D2C481D8-71C5-436F-8A4B-3312BA9D539F}"/>
    <hyperlink ref="A204" r:id="rId60" xr:uid="{A600AD8C-61D6-4CB8-86D1-F29E57E5C061}"/>
    <hyperlink ref="A297" r:id="rId61" xr:uid="{9A0E17CA-53E6-4934-A887-7DE079025743}"/>
    <hyperlink ref="A260" r:id="rId62" xr:uid="{80E09A7C-322A-43AE-9B6E-C8117E1C91ED}"/>
    <hyperlink ref="A88" r:id="rId63" xr:uid="{521A7794-8791-49BE-A0D8-02D01FD973D1}"/>
    <hyperlink ref="A87" r:id="rId64" xr:uid="{2B2E0E65-D463-4923-A52F-F62CB758C46F}"/>
    <hyperlink ref="A86" r:id="rId65" xr:uid="{E44EF128-6836-4268-BBBD-2B5B4124EE81}"/>
    <hyperlink ref="A202" r:id="rId66" xr:uid="{C659AC7A-B8F4-4CA4-8782-D9163AC4BCB2}"/>
    <hyperlink ref="A251" r:id="rId67" xr:uid="{A270AE71-3283-40FD-B68C-EAC498C31710}"/>
    <hyperlink ref="A273" r:id="rId68" xr:uid="{60E317DE-A862-41BF-B18D-384BADC97C35}"/>
    <hyperlink ref="A277" r:id="rId69" xr:uid="{97E2F23A-C011-47A9-B6FB-1C9896DBDF00}"/>
    <hyperlink ref="A299" r:id="rId70" xr:uid="{3CB47870-0737-4006-9430-C7B4B1850AC4}"/>
    <hyperlink ref="A281" r:id="rId71" xr:uid="{E30B8C88-59F5-48C8-B039-AD976985A8DC}"/>
    <hyperlink ref="A289" r:id="rId72" xr:uid="{3C362D41-F98E-4FAC-ACBF-16347A9483B7}"/>
    <hyperlink ref="A258" r:id="rId73" xr:uid="{CB8B7F8E-F9D1-4FBB-A6C4-2F8B4025D8FE}"/>
    <hyperlink ref="A241" r:id="rId74" xr:uid="{4CDB6519-0D19-44C9-9FA3-3BAC8490E692}"/>
    <hyperlink ref="A235" r:id="rId75" display="https://www.educationalcoin.com/ancient-coins/ngc-certified-slabs.html?ruler=1678" xr:uid="{C28E437B-C9AD-449E-90DF-24DFD6E65A3C}"/>
    <hyperlink ref="A222" r:id="rId76" display="https://www.educationalcoin.com/product-category/ancient-historical/ngc-certified-slabs/?_ruler_for_landing_page=domitian" xr:uid="{16D642BA-F2C5-44BB-B48E-9AFB885DDFBE}"/>
    <hyperlink ref="A220" r:id="rId77" display="https://www.educationalcoin.com/product-category/ancient-historical/ngc-certified-slabs/?_ruler_for_landing_page=vespasian" xr:uid="{8AE065E0-46FF-43B5-A517-9F0A55E9F96B}"/>
    <hyperlink ref="A213" r:id="rId78" xr:uid="{11ACF3DE-B699-48A7-ABAD-3DBDFD0F9EDE}"/>
    <hyperlink ref="A208" r:id="rId79" xr:uid="{61642CB1-4B2D-4907-9DF0-E8D6B9EE867E}"/>
    <hyperlink ref="A206" r:id="rId80" xr:uid="{BACB6136-8431-4E36-9C3E-288F14857721}"/>
    <hyperlink ref="A167" r:id="rId81" xr:uid="{CD8D7B15-13ED-4F82-A329-B92DCAE9BB4B}"/>
    <hyperlink ref="A163" r:id="rId82" xr:uid="{A6303E81-9A82-46EB-97CC-5D5786849FD7}"/>
    <hyperlink ref="A8" r:id="rId83" xr:uid="{417D8B67-ABBB-42CF-98F3-9432F47A77D1}"/>
    <hyperlink ref="A9" r:id="rId84" xr:uid="{0F4421AA-4B7C-4D02-8CEE-15AE0D8CD991}"/>
    <hyperlink ref="A11" r:id="rId85" xr:uid="{43CBC146-E421-499B-A65F-CC31B0C71DB9}"/>
    <hyperlink ref="A14" r:id="rId86" xr:uid="{D536D04A-B60C-4FD2-AE01-832397C68532}"/>
    <hyperlink ref="A20" r:id="rId87" xr:uid="{7508B0A6-EABF-469F-BEFC-2C41097CB303}"/>
    <hyperlink ref="A169" r:id="rId88" xr:uid="{50D48E9B-F62E-4E3F-9B6B-14DCB49F9FDA}"/>
    <hyperlink ref="A225" r:id="rId89" display="https://www.educationalcoin.com/ancient-coins/ngc-certified-slabs.html?ruler=1431" xr:uid="{8F7A4CC7-45E7-4532-A874-B15530F53E7B}"/>
    <hyperlink ref="A195" r:id="rId90" xr:uid="{D223E987-1591-4C66-A8B5-3741FC3EFEAF}"/>
    <hyperlink ref="A50" r:id="rId91" xr:uid="{6EA0BEE3-1B57-4EA6-8567-B3D6184F11C8}"/>
    <hyperlink ref="A17" r:id="rId92" xr:uid="{3697EE94-6DB4-443A-AE00-3D8FB696B70F}"/>
    <hyperlink ref="A18" r:id="rId93" xr:uid="{8D569804-3577-4E5D-A0FD-852FDC77890C}"/>
    <hyperlink ref="A37" r:id="rId94" xr:uid="{F2F0F169-FAF5-41BC-A94E-A2B1D1050856}"/>
    <hyperlink ref="A60" r:id="rId95" display="https://www.educationalcoin.com/ancient-coins/ngc-certified-slabs.html?subcategory=1709" xr:uid="{2AD66DB9-06A1-46D2-B8FB-3E64C398C559}"/>
    <hyperlink ref="A62" r:id="rId96" display="https://www.educationalcoin.com/ancient-coins/ngc-certified-slabs.html?subcategory=1709" xr:uid="{BD80E360-4ABE-40F9-9639-C89CB7B8AFFA}"/>
    <hyperlink ref="A64" r:id="rId97" display="https://www.educationalcoin.com/ancient-coins/ngc-certified-slabs.html?subcategory=1709" xr:uid="{9FB92823-8116-4430-A3A2-4F8E599E473C}"/>
    <hyperlink ref="A66" r:id="rId98" display="https://www.educationalcoin.com/ancient-coins/ngc-certified-slabs.html?subcategory=1709" xr:uid="{E58D6F45-E6AF-4AF7-88D5-38D9A7FB1185}"/>
    <hyperlink ref="A70" r:id="rId99" display="https://www.educationalcoin.com/ancient-coins/ngc-certified-slabs.html?subcategory=1709" xr:uid="{B0DA7FD1-588D-4E19-B37A-7242861E55F9}"/>
    <hyperlink ref="A247" r:id="rId100" xr:uid="{CB07D835-D465-447F-B47F-6BFF7D755DDD}"/>
    <hyperlink ref="A388" r:id="rId101" xr:uid="{CDEE77C1-9A9D-4A34-9E08-BC367F82B811}"/>
    <hyperlink ref="A310" r:id="rId102" display="https://www.educationalcoin.com/pontus-amisus-under-mithradates-ngc-slab.html" xr:uid="{EFA69C0C-3C36-4858-AE04-5FBC3B779088}"/>
    <hyperlink ref="A371" r:id="rId103" xr:uid="{E015D6FA-DFBA-4A13-916E-7130187325B6}"/>
    <hyperlink ref="A377" r:id="rId104" xr:uid="{52FF9C2A-6BFF-4D18-9868-B7596A04F298}"/>
    <hyperlink ref="A413" r:id="rId105" xr:uid="{E8DD749D-A5E9-4968-A72E-686492A1FB30}"/>
    <hyperlink ref="A409" r:id="rId106" xr:uid="{7632F31F-C811-46C1-851E-D6458B33CB1B}"/>
    <hyperlink ref="A407" r:id="rId107" xr:uid="{E5D3FD69-D671-459B-9697-A219BFA01C5C}"/>
    <hyperlink ref="A400" r:id="rId108" xr:uid="{6D72F6A6-7A7E-47D9-9432-D7DD3E3A7948}"/>
    <hyperlink ref="A398" r:id="rId109" xr:uid="{6968C7E7-916B-4B3A-A4B5-92E86BD9127F}"/>
    <hyperlink ref="A396" r:id="rId110" xr:uid="{B17A8577-97C0-454B-8212-847A41659C9B}"/>
    <hyperlink ref="A383" r:id="rId111" xr:uid="{1FBE9FB8-936F-4463-A559-398130AB9B2F}"/>
    <hyperlink ref="A379" r:id="rId112" xr:uid="{0E77A5EA-2D28-4A03-8E1A-C8232A6B5BC1}"/>
    <hyperlink ref="A375" r:id="rId113" xr:uid="{3B2648F4-3AF7-4279-98CF-E5072BEC517C}"/>
    <hyperlink ref="A365" r:id="rId114" xr:uid="{E4EE7343-3A5D-4228-832B-CFDA4C5869F8}"/>
    <hyperlink ref="A362" r:id="rId115" display="https://www.educationalcoin.com/catalogsearch/result/?q=azes+II" xr:uid="{3B2591DE-AE95-408E-9442-F80DAA6F5807}"/>
    <hyperlink ref="A344" r:id="rId116" display="https://www.educationalcoin.com/nero-alexandria-tetradrachm-ngc-slab.html" xr:uid="{04FA376D-0D41-46A6-B402-56C00811EAF5}"/>
    <hyperlink ref="A321" r:id="rId117" display="https://www.educationalcoin.com/product-category/ancient-historical/ngc-certified-slabs/?_ruler_for_landing_page=pontius-pilate" xr:uid="{8CCA2A12-8F7F-4D6B-A1C4-FFD2F28AA1DD}"/>
    <hyperlink ref="A326" r:id="rId118" display="https://www.educationalcoin.com/valerius-gratus-roman-prefect-of-judaea-under-tiberius-15-26-ce-ngc-slab.html" xr:uid="{A36FB340-2F94-44C3-AFE5-1E1CEB180F3F}"/>
    <hyperlink ref="A328" r:id="rId119" xr:uid="{79C3A2F0-2CF3-4B57-9D67-B9B0D0199292}"/>
    <hyperlink ref="A148" r:id="rId120" xr:uid="{B6083ADB-12EB-4717-BEEE-729CD86F57DF}"/>
    <hyperlink ref="A373" r:id="rId121" display="https://www.educationalcoin.com/-122546.html" xr:uid="{202154D2-C651-4559-97B3-60BB108021DF}"/>
    <hyperlink ref="A411" r:id="rId122" display="https://www.educationalcoin.com/catalogsearch/result/?q=arabia+felix" xr:uid="{B6BFE7BA-24CA-4A52-80FD-14F5B2A4719E}"/>
    <hyperlink ref="A367" r:id="rId123" display="https://www.educationalcoin.com/crusades-bohemond-ngc.html" xr:uid="{1DE8EEF4-785C-4438-9C09-DADADED4BFB5}"/>
    <hyperlink ref="A369" r:id="rId124" display="https://www.educationalcoin.com/crusades-hugh-ix-ngc.html" xr:uid="{B4E4C419-BD21-4FAD-A43F-C72D5E0B267C}"/>
    <hyperlink ref="A129" r:id="rId125" xr:uid="{0E9F38B6-E2EF-4837-9D00-EA354CFE48DA}"/>
    <hyperlink ref="A127" r:id="rId126" display="https://www.educationalcoin.com/product-category/ancient-historical/ngc-certified-slabs/?_ruler_for_landing_page=marcian" xr:uid="{1FB7E0F5-4DEE-4DF1-91CB-C923E8ABF8BD}"/>
    <hyperlink ref="A77" r:id="rId127" xr:uid="{DECAFA48-7216-4850-95F3-AD629AE74A1A}"/>
    <hyperlink ref="A107" r:id="rId128" xr:uid="{B588274F-E12C-4718-9084-72F966C522EA}"/>
    <hyperlink ref="A110" r:id="rId129" xr:uid="{19281F0A-CB56-4AC0-82BB-F44E5E978427}"/>
    <hyperlink ref="A111" r:id="rId130" xr:uid="{4AB11A87-5D36-4805-9DB0-8A8CB6E944FE}"/>
    <hyperlink ref="A112" r:id="rId131" xr:uid="{DDA98A77-1AFF-4D05-B6F9-96D608059A99}"/>
    <hyperlink ref="A215" r:id="rId132" display="https://www.educationalcoin.com/product-category/ancient-historical/ngc-certified-slabs/?_ruler_for_landing_page=carausius" xr:uid="{1B89E0EE-A332-4FB2-BB97-80BBA895647B}"/>
    <hyperlink ref="A245" r:id="rId133" xr:uid="{FD9DB133-DAC9-4F3E-8070-3511D1D6DE8C}"/>
    <hyperlink ref="A237" r:id="rId134" xr:uid="{3DEAE60D-1AA7-43BB-9240-64095AC02224}"/>
    <hyperlink ref="A229" r:id="rId135" xr:uid="{8E066A9B-23A3-4236-8A53-81CA64E36B33}"/>
    <hyperlink ref="A293" r:id="rId136" xr:uid="{9565C979-E87B-4E2F-ACE1-3977B4E4D4C5}"/>
    <hyperlink ref="A295" r:id="rId137" xr:uid="{DACAF62F-F9AB-4132-B11B-950054776522}"/>
    <hyperlink ref="A428" r:id="rId138" display="https://www.educationalcoin.com/east-india-company-1-4-anna-ngc-slab.html" xr:uid="{99B027F9-2C2E-4F89-A650-6E6E002AA721}"/>
    <hyperlink ref="A266" r:id="rId139" xr:uid="{5B1995C1-4D95-4BF5-8349-9AD4D32E70DC}"/>
    <hyperlink ref="A25" r:id="rId140" xr:uid="{901783E0-F8F4-4D2D-86C9-40C6A21371AC}"/>
    <hyperlink ref="A41" r:id="rId141" xr:uid="{704EEAAA-F596-4D1F-B0FB-211C75E0A30D}"/>
    <hyperlink ref="A55" r:id="rId142" xr:uid="{CBC6ABEB-2453-4798-88B1-28129CC0657A}"/>
    <hyperlink ref="A57" r:id="rId143" xr:uid="{3E6C78C9-1446-4347-9462-D8FCD06269EF}"/>
    <hyperlink ref="A58" r:id="rId144" xr:uid="{17576CD1-E800-42AC-B29B-8949EF4E935B}"/>
    <hyperlink ref="A74" r:id="rId145" xr:uid="{A7A5CFFB-AAEE-4F51-A79B-A7CCD2925B33}"/>
    <hyperlink ref="A101" r:id="rId146" xr:uid="{AA2F52DE-799C-4FCF-8169-4581FCBF93B7}"/>
    <hyperlink ref="A102" r:id="rId147" xr:uid="{112B3C4B-7633-40DD-BB0C-24AC9F282EB7}"/>
    <hyperlink ref="A108" r:id="rId148" xr:uid="{38114BAE-C7FE-4962-AD6A-57410267B793}"/>
    <hyperlink ref="A122:A123" r:id="rId149" display="https://www.educationalcoin.com/product-category/ancient-historical/ngc-certified-slabs/?_ruler_for_landing_page=valentinian-ii" xr:uid="{9CBF841E-468A-4A85-B639-C3B48432010F}"/>
    <hyperlink ref="A144" r:id="rId150" display="https://www.educationalcoin.com/product-category/ancient-historical/ngc-certified-slabs/?_subcategory=south-petherton" xr:uid="{59A88373-FD48-4958-8200-6E84BECFDAA7}"/>
    <hyperlink ref="A175" r:id="rId151" xr:uid="{563DD837-FB2D-4407-BC75-A6EE44050862}"/>
    <hyperlink ref="A181" r:id="rId152" xr:uid="{FD681B11-CEB6-499B-AAAC-A7AA4EB5D704}"/>
    <hyperlink ref="A189" r:id="rId153" xr:uid="{D2D79A8D-F44D-4638-9B83-FE6C9204207D}"/>
    <hyperlink ref="A211" r:id="rId154" xr:uid="{545CA7D5-214B-47A0-BA1B-9D5412FECE36}"/>
    <hyperlink ref="A402" r:id="rId155" display="https://www.educationalcoin.com/product/republic-of-venice-silver-grossong/" xr:uid="{FDD6FF84-9A8A-47E1-882D-A78FCC61C928}"/>
    <hyperlink ref="A150" r:id="rId156" xr:uid="{91061221-D509-4F89-B402-EE16A2B3488C}"/>
    <hyperlink ref="A152" r:id="rId157" xr:uid="{4A9C120C-6DBD-4341-96A8-8232A3346AAE}"/>
    <hyperlink ref="A154" r:id="rId158" xr:uid="{AFAAAE1C-911E-404F-B533-AA7FA9088B7D}"/>
    <hyperlink ref="V229" r:id="rId159" display="https://www.educationalcoin.com/product-category/ancient-historical/ngc-certified-slabs/?_ruler_for_landing_page=procopius" xr:uid="{9B2A4D6A-6266-4F05-A7C2-300A4F038D06}"/>
    <hyperlink ref="A256" r:id="rId160" xr:uid="{D6E44C6A-0162-482C-BFEF-AA5BA9B6CD6A}"/>
    <hyperlink ref="A262" r:id="rId161" xr:uid="{CB065465-7FD6-4E88-B85E-DD1F4639578C}"/>
    <hyperlink ref="A264" r:id="rId162" xr:uid="{ABDCCF14-581D-42A6-9D0C-4E6967B2A78B}"/>
    <hyperlink ref="A283" r:id="rId163" display="https://www.educationalcoin.com/product-category/ancient-historical/ngc-certified-slabs/?_ruler_for_landing_page=herennia-etruscilla" xr:uid="{37AA7A98-5319-4F80-891F-29B7024B7E40}"/>
    <hyperlink ref="A285" r:id="rId164" display="https://www.educationalcoin.com/product-category/ancient-historical/ngc-certified-slabs/?_ruler_for_landing_page=herennius-etruscus" xr:uid="{868151B5-699B-435C-91B2-88EF331A7EEF}"/>
    <hyperlink ref="A140" r:id="rId165" display="https://www.educationalcoin.com/product-category/ancient-historical/ngc-certified-slabs/?_subcategory=south-petherton" xr:uid="{D665BD43-5D51-4DF5-9044-B7207FD9803E}"/>
    <hyperlink ref="A142" r:id="rId166" display="https://www.educationalcoin.com/product-category/ancient-historical/ngc-certified-slabs/?_subcategory=south-petherton" xr:uid="{3DB0F92E-11C0-401B-A0A4-3F8715401A05}"/>
    <hyperlink ref="V285" r:id="rId167" display="https://www.educationalcoin.com/product-category/ancient-historical/ngc-certified-slabs/?_ruler_for_landing_page=" xr:uid="{337AD4F7-5223-4C33-BEF0-6D22B0F2105B}"/>
    <hyperlink ref="A291" r:id="rId168" xr:uid="{EA3BC8CC-245A-430B-9E5A-499FD2A1887D}"/>
    <hyperlink ref="A303" r:id="rId169" xr:uid="{E1EF8FE7-C875-4DA4-B105-66AB0C2DF11C}"/>
    <hyperlink ref="A312" r:id="rId170" display="https://www.educationalcoin.com/product/mysia-1st-2nd-centuries-bce-pergamum-region-ng/" xr:uid="{58494C1D-5A72-4424-A12B-D9E129B45C0F}"/>
    <hyperlink ref="A317" r:id="rId171" display="https://www.educationalcoin.com/product-category/ancient-historical/ngc-certified-slabs/?_ruler_for_landing_page=herod-agrippa-1" xr:uid="{97B2C1DC-6894-4760-A9B8-5907E24F549C}"/>
    <hyperlink ref="Q308" r:id="rId172" display="https://www.educationalcoin.com/product-category/ancient-historical/ngc-certified-slabs/?_ruler_for_landing_page=" xr:uid="{A9EB7767-93BA-4940-8F35-44AFE6B348B4}"/>
    <hyperlink ref="A319" r:id="rId173" xr:uid="{36D8897E-8F00-4A5F-B6BF-4C6CA183698C}"/>
    <hyperlink ref="A323" r:id="rId174" display="https://www.educationalcoin.com/product-category/ancient-historical/ngc-certified-slabs/?_ruler_for_landing_page=maccabean" xr:uid="{EA3F45A7-B311-449B-9817-4DAF9B5CBFB7}"/>
    <hyperlink ref="A324" r:id="rId175" display="https://www.educationalcoin.com/product-category/ancient-historical/ngc-certified-slabs/?_ruler_for_landing_page=maccabean" xr:uid="{658EAEA6-B580-4CF9-9D39-71E36EBE7CD7}"/>
    <hyperlink ref="A330" r:id="rId176" xr:uid="{81D620AB-3E30-42E3-88E1-D0A6D3743CF5}"/>
    <hyperlink ref="A332" r:id="rId177" xr:uid="{39900784-0691-4105-9B8E-81A11D2305DE}"/>
    <hyperlink ref="A334" r:id="rId178" xr:uid="{EC2AB6FB-2A00-4DB8-BA22-C4EA6C0F2427}"/>
    <hyperlink ref="A337" r:id="rId179" display="https://www.educationalcoin.com/product-category/ancient-historical/ngc-certified-slabs/?_ruler_for_landing_page=alexander-jannaeus" xr:uid="{619EA272-8B62-4F92-B593-9CF63201F1B7}"/>
    <hyperlink ref="X323" r:id="rId180" display="https://www.educationalcoin.com/product-category/ancient-historical/ngc-certified-slabs/?_ruler_for_landing_page=" xr:uid="{B567CA94-5295-4C4C-83E8-A78A2ADAD9ED}"/>
    <hyperlink ref="X334" r:id="rId181" display="https://www.educationalcoin.com/product-category/ancient-historical/ngc-certified-slabs/?_ruler_for_landing_page=" xr:uid="{33153C5D-27C3-4416-928C-21FA55419B0F}"/>
    <hyperlink ref="A346" r:id="rId182" display="https://www.educationalcoin.com/product/soter-mega-ngc-certified-slabng/" xr:uid="{0027919A-9E30-4895-ACC9-11821F179F96}"/>
    <hyperlink ref="A348" r:id="rId183" display="https://www.educationalcoin.com/product-category/ancient-historical/ngc-certified-slabs/?_ruler_for_landing_page=menander" xr:uid="{237A560B-A0C3-4250-B73F-3D2CE6769BF6}"/>
    <hyperlink ref="A350" r:id="rId184" display="https://www.educationalcoin.com/product-category/ancient-historical/ngc-certified-slabs/?_ruler_for_landing_page=hermaeus" xr:uid="{54318716-1D19-4A6B-8DAB-12258D6E8DA7}"/>
    <hyperlink ref="A354" r:id="rId185" display="https://www.educationalcoin.com/product/kings-of-elam-drachm-in-ngc-slab-book-of-genesis-coin/" xr:uid="{864CB30D-FDA1-4D76-B9F1-55C7F8C0666B}"/>
    <hyperlink ref="A356" r:id="rId186" display="https://www.educationalcoin.com/product/celtic-tribes-in-ancient-gaul-quinarius-ngc-slablg/" xr:uid="{C9AA33AE-A5FB-4738-B875-32490F008B05}"/>
    <hyperlink ref="A358" r:id="rId187" display="https://www.educationalcoin.com/product/persis-hemidrachm-ngc-slabng/" xr:uid="{6DD3E100-C507-463C-BA77-04CAC79A6CD5}"/>
    <hyperlink ref="A360" r:id="rId188" display="https://www.educationalcoin.com/product/first-persian-empire-ngc-slabng/" xr:uid="{184ABE64-69A9-4A85-B74A-2F20EDF75513}"/>
  </hyperlinks>
  <printOptions horizontalCentered="1" gridLines="1"/>
  <pageMargins left="0" right="0" top="0.25" bottom="0.31" header="0.2" footer="0.12"/>
  <pageSetup scale="60" orientation="landscape" horizontalDpi="0" verticalDpi="0" r:id="rId189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CMIadmin</dc:creator>
  <cp:lastModifiedBy>CMIadmin</cp:lastModifiedBy>
  <cp:lastPrinted>2023-01-31T20:42:22Z</cp:lastPrinted>
  <dcterms:created xsi:type="dcterms:W3CDTF">2023-01-31T20:40:41Z</dcterms:created>
  <dcterms:modified xsi:type="dcterms:W3CDTF">2023-01-31T20:42:44Z</dcterms:modified>
</cp:coreProperties>
</file>